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filterPrivacy="1" defaultThemeVersion="166925"/>
  <xr:revisionPtr revIDLastSave="2498" documentId="13_ncr:1_{6405DF7D-41C1-42AE-A218-C7B47C461F54}" xr6:coauthVersionLast="47" xr6:coauthVersionMax="47" xr10:uidLastSave="{1776CB76-2C17-4BFC-82E6-AD5B08F49FF0}"/>
  <bookViews>
    <workbookView xWindow="57480" yWindow="-120" windowWidth="29040" windowHeight="16440" xr2:uid="{BD0F454C-68D0-4C9E-954B-10B60FB0C452}"/>
  </bookViews>
  <sheets>
    <sheet name="Notes - Read Me" sheetId="11" r:id="rId1"/>
    <sheet name="Geometry Calculator" sheetId="4" r:id="rId2"/>
    <sheet name="Sagged Hardtail Calculator" sheetId="18" r:id="rId3"/>
    <sheet name="RAD Calculator" sheetId="14" r:id="rId4"/>
    <sheet name="Rigid Fork AtC Calculator" sheetId="15" r:id="rId5"/>
    <sheet name="Tire Diameter Estimator" sheetId="19" r:id="rId6"/>
    <sheet name="Measurement Definitions" sheetId="12" r:id="rId7"/>
    <sheet name="Background calcs" sheetId="8" state="hidden"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19" l="1"/>
  <c r="C9" i="19" s="1"/>
  <c r="D8" i="15"/>
  <c r="B8" i="15"/>
  <c r="B5" i="15"/>
  <c r="D7" i="18"/>
  <c r="E7" i="18"/>
  <c r="E24" i="18"/>
  <c r="E9" i="18"/>
  <c r="E8" i="18"/>
  <c r="AD5" i="8" s="1"/>
  <c r="D30" i="18"/>
  <c r="E23" i="18"/>
  <c r="D22" i="18"/>
  <c r="D17" i="18"/>
  <c r="D18" i="18" s="1"/>
  <c r="E15" i="18"/>
  <c r="E14" i="18"/>
  <c r="AB7" i="8"/>
  <c r="AB9" i="8" s="1"/>
  <c r="AB5" i="8"/>
  <c r="AB15" i="8" s="1"/>
  <c r="AD4" i="8"/>
  <c r="AC4" i="8"/>
  <c r="AB4" i="8"/>
  <c r="D19" i="14"/>
  <c r="D18" i="14"/>
  <c r="D17" i="14"/>
  <c r="L24" i="4"/>
  <c r="Z59" i="8"/>
  <c r="Z58" i="8"/>
  <c r="Z56" i="8"/>
  <c r="Z42" i="8" s="1"/>
  <c r="Z53" i="8"/>
  <c r="Z52" i="8"/>
  <c r="Z39" i="8"/>
  <c r="Z38" i="8"/>
  <c r="Z5" i="8"/>
  <c r="Z4" i="8"/>
  <c r="V59" i="8"/>
  <c r="V58" i="8"/>
  <c r="V56" i="8"/>
  <c r="V42" i="8" s="1"/>
  <c r="V53" i="8"/>
  <c r="V52" i="8"/>
  <c r="V39" i="8"/>
  <c r="V38" i="8"/>
  <c r="V5" i="8"/>
  <c r="V4" i="8"/>
  <c r="R59" i="8"/>
  <c r="R58" i="8"/>
  <c r="R56" i="8"/>
  <c r="R57" i="8" s="1"/>
  <c r="R53" i="8"/>
  <c r="R52" i="8"/>
  <c r="R39" i="8"/>
  <c r="R38" i="8"/>
  <c r="R5" i="8"/>
  <c r="R4" i="8"/>
  <c r="N59" i="8"/>
  <c r="N58" i="8"/>
  <c r="N56" i="8"/>
  <c r="N36" i="8" s="1"/>
  <c r="N53" i="8"/>
  <c r="N52" i="8"/>
  <c r="N39" i="8"/>
  <c r="N38" i="8"/>
  <c r="N5" i="8"/>
  <c r="N4" i="8"/>
  <c r="J4" i="8"/>
  <c r="J5" i="8"/>
  <c r="Z147" i="8"/>
  <c r="Z151" i="8" s="1"/>
  <c r="Z99" i="8" s="1"/>
  <c r="X147" i="8"/>
  <c r="X151" i="8" s="1"/>
  <c r="X99" i="8" s="1"/>
  <c r="V147" i="8"/>
  <c r="V151" i="8" s="1"/>
  <c r="V96" i="8" s="1"/>
  <c r="T147" i="8"/>
  <c r="T151" i="8" s="1"/>
  <c r="T99" i="8" s="1"/>
  <c r="R147" i="8"/>
  <c r="R151" i="8" s="1"/>
  <c r="R99" i="8" s="1"/>
  <c r="P147" i="8"/>
  <c r="P151" i="8" s="1"/>
  <c r="N147" i="8"/>
  <c r="N151" i="8" s="1"/>
  <c r="N99" i="8" s="1"/>
  <c r="L147" i="8"/>
  <c r="L151" i="8" s="1"/>
  <c r="J147" i="8"/>
  <c r="J151" i="8" s="1"/>
  <c r="J99" i="8" s="1"/>
  <c r="Y5" i="8"/>
  <c r="Y4" i="8"/>
  <c r="U5" i="8"/>
  <c r="U4" i="8"/>
  <c r="Q5" i="8"/>
  <c r="Q4" i="8"/>
  <c r="M5" i="8"/>
  <c r="M4" i="8"/>
  <c r="X59" i="8"/>
  <c r="X58" i="8"/>
  <c r="X56" i="8"/>
  <c r="X57" i="8" s="1"/>
  <c r="X53" i="8"/>
  <c r="X52" i="8"/>
  <c r="X39" i="8"/>
  <c r="X38" i="8"/>
  <c r="X25" i="8" a="1"/>
  <c r="X25" i="8" s="1"/>
  <c r="X21" i="8"/>
  <c r="X7" i="8"/>
  <c r="X44" i="8" s="1"/>
  <c r="X5" i="8"/>
  <c r="X138" i="8" s="1"/>
  <c r="X4" i="8"/>
  <c r="X137" i="8" s="1"/>
  <c r="T59" i="8"/>
  <c r="T58" i="8"/>
  <c r="T56" i="8"/>
  <c r="T57" i="8" s="1"/>
  <c r="T53" i="8"/>
  <c r="T52" i="8"/>
  <c r="T39" i="8"/>
  <c r="T38" i="8"/>
  <c r="T25" i="8" a="1"/>
  <c r="T25" i="8" s="1"/>
  <c r="T21" i="8"/>
  <c r="T7" i="8"/>
  <c r="U7" i="8" s="1"/>
  <c r="T5" i="8"/>
  <c r="T138" i="8" s="1"/>
  <c r="T4" i="8"/>
  <c r="T137" i="8" s="1"/>
  <c r="P59" i="8"/>
  <c r="P58" i="8"/>
  <c r="P56" i="8"/>
  <c r="P57" i="8" s="1"/>
  <c r="P53" i="8"/>
  <c r="P52" i="8"/>
  <c r="P39" i="8"/>
  <c r="P38" i="8"/>
  <c r="P25" i="8" a="1"/>
  <c r="P25" i="8" s="1"/>
  <c r="P21" i="8"/>
  <c r="P7" i="8"/>
  <c r="Q7" i="8" s="1"/>
  <c r="P5" i="8"/>
  <c r="P4" i="8"/>
  <c r="L59" i="8"/>
  <c r="L58" i="8"/>
  <c r="L56" i="8"/>
  <c r="L57" i="8" s="1"/>
  <c r="L53" i="8"/>
  <c r="L52" i="8"/>
  <c r="L39" i="8"/>
  <c r="L38" i="8"/>
  <c r="L25" i="8" a="1"/>
  <c r="L25" i="8" s="1"/>
  <c r="L21" i="8"/>
  <c r="L7" i="8"/>
  <c r="M7" i="8" s="1"/>
  <c r="L5" i="8"/>
  <c r="L4" i="8"/>
  <c r="H147" i="8"/>
  <c r="H151" i="8" s="1"/>
  <c r="AB6" i="8" l="1"/>
  <c r="AC6" i="8" s="1"/>
  <c r="AB11" i="8"/>
  <c r="AB12" i="8" s="1"/>
  <c r="AC9" i="8"/>
  <c r="AC11" i="8" s="1"/>
  <c r="AC5" i="8"/>
  <c r="AB14" i="8"/>
  <c r="AC7" i="8"/>
  <c r="X42" i="8"/>
  <c r="X36" i="8"/>
  <c r="X102" i="8" s="1"/>
  <c r="L126" i="8"/>
  <c r="P127" i="8"/>
  <c r="P96" i="8"/>
  <c r="P99" i="8"/>
  <c r="Z96" i="8"/>
  <c r="X126" i="8"/>
  <c r="X127" i="8"/>
  <c r="V99" i="8"/>
  <c r="T127" i="8"/>
  <c r="P126" i="8"/>
  <c r="R126" i="8"/>
  <c r="R127" i="8"/>
  <c r="N102" i="8"/>
  <c r="J96" i="8"/>
  <c r="N96" i="8"/>
  <c r="V126" i="8"/>
  <c r="L96" i="8"/>
  <c r="N126" i="8"/>
  <c r="R96" i="8"/>
  <c r="T126" i="8"/>
  <c r="X96" i="8"/>
  <c r="Z126" i="8"/>
  <c r="T96" i="8"/>
  <c r="L99" i="8"/>
  <c r="L127" i="8"/>
  <c r="X15" i="8"/>
  <c r="X14" i="8" s="1"/>
  <c r="X16" i="8" s="1"/>
  <c r="X62" i="8"/>
  <c r="X132" i="8" s="1"/>
  <c r="P36" i="8"/>
  <c r="P102" i="8" s="1"/>
  <c r="R36" i="8"/>
  <c r="R102" i="8" s="1"/>
  <c r="L42" i="8"/>
  <c r="T44" i="8"/>
  <c r="R62" i="8"/>
  <c r="R132" i="8" s="1"/>
  <c r="N42" i="8"/>
  <c r="V57" i="8"/>
  <c r="V127" i="8" s="1"/>
  <c r="T9" i="8"/>
  <c r="N57" i="8"/>
  <c r="N127" i="8" s="1"/>
  <c r="P42" i="8"/>
  <c r="R42" i="8"/>
  <c r="Z62" i="8"/>
  <c r="Z132" i="8" s="1"/>
  <c r="T62" i="8"/>
  <c r="V62" i="8"/>
  <c r="V132" i="8" s="1"/>
  <c r="T15" i="8"/>
  <c r="T14" i="8" s="1"/>
  <c r="T16" i="8" s="1"/>
  <c r="L15" i="8"/>
  <c r="L14" i="8" s="1"/>
  <c r="L16" i="8" s="1"/>
  <c r="L62" i="8"/>
  <c r="N62" i="8"/>
  <c r="N132" i="8" s="1"/>
  <c r="Z57" i="8"/>
  <c r="Z127" i="8" s="1"/>
  <c r="Z36" i="8"/>
  <c r="Z102" i="8" s="1"/>
  <c r="V36" i="8"/>
  <c r="V102" i="8" s="1"/>
  <c r="L36" i="8"/>
  <c r="T36" i="8"/>
  <c r="P62" i="8"/>
  <c r="Y7" i="8"/>
  <c r="N37" i="8"/>
  <c r="N103" i="8" s="1"/>
  <c r="X9" i="8"/>
  <c r="Y9" i="8" s="1"/>
  <c r="Y11" i="8" s="1"/>
  <c r="Y31" i="8" s="1"/>
  <c r="Y33" i="8" s="1"/>
  <c r="X23" i="8"/>
  <c r="Y23" i="8" s="1"/>
  <c r="T42" i="8"/>
  <c r="T23" i="8"/>
  <c r="U23" i="8" s="1"/>
  <c r="P15" i="8"/>
  <c r="P9" i="8"/>
  <c r="Q9" i="8" s="1"/>
  <c r="Q11" i="8" s="1"/>
  <c r="Q31" i="8" s="1"/>
  <c r="Q33" i="8" s="1"/>
  <c r="P44" i="8"/>
  <c r="P23" i="8"/>
  <c r="L9" i="8"/>
  <c r="M9" i="8" s="1"/>
  <c r="L44" i="8"/>
  <c r="L23" i="8"/>
  <c r="M23" i="8" s="1"/>
  <c r="H96" i="8"/>
  <c r="H99" i="8"/>
  <c r="Z9" i="4"/>
  <c r="V9" i="4"/>
  <c r="R9" i="4"/>
  <c r="N9" i="4"/>
  <c r="J9" i="4"/>
  <c r="X37" i="8" l="1"/>
  <c r="X103" i="8" s="1"/>
  <c r="AB8" i="8"/>
  <c r="D20" i="18"/>
  <c r="AC12" i="8"/>
  <c r="AB13" i="8"/>
  <c r="AC13" i="8" s="1"/>
  <c r="AB16" i="8"/>
  <c r="X22" i="4"/>
  <c r="X63" i="8"/>
  <c r="X133" i="8" s="1"/>
  <c r="T63" i="8"/>
  <c r="T133" i="8" s="1"/>
  <c r="T132" i="8"/>
  <c r="T37" i="8"/>
  <c r="T103" i="8" s="1"/>
  <c r="T102" i="8"/>
  <c r="P63" i="8"/>
  <c r="P133" i="8" s="1"/>
  <c r="P132" i="8"/>
  <c r="P37" i="8"/>
  <c r="P103" i="8" s="1"/>
  <c r="L37" i="8"/>
  <c r="L103" i="8" s="1"/>
  <c r="L102" i="8"/>
  <c r="L63" i="8"/>
  <c r="L133" i="8" s="1"/>
  <c r="L132" i="8"/>
  <c r="R37" i="8"/>
  <c r="R103" i="8" s="1"/>
  <c r="T22" i="4"/>
  <c r="L22" i="4"/>
  <c r="Q23" i="8"/>
  <c r="R63" i="8"/>
  <c r="R133" i="8" s="1"/>
  <c r="V37" i="8"/>
  <c r="V103" i="8" s="1"/>
  <c r="N63" i="8"/>
  <c r="N133" i="8" s="1"/>
  <c r="Z37" i="8"/>
  <c r="Z103" i="8" s="1"/>
  <c r="T11" i="8"/>
  <c r="U9" i="8"/>
  <c r="Z63" i="8"/>
  <c r="Z133" i="8" s="1"/>
  <c r="V63" i="8"/>
  <c r="V133" i="8" s="1"/>
  <c r="M11" i="8"/>
  <c r="M31" i="8" s="1"/>
  <c r="M33" i="8" s="1"/>
  <c r="X11" i="8"/>
  <c r="P11" i="8"/>
  <c r="P14" i="8"/>
  <c r="L11" i="8"/>
  <c r="X33" i="4"/>
  <c r="Z25" i="4"/>
  <c r="X24" i="4"/>
  <c r="Z17" i="4"/>
  <c r="Z16" i="4"/>
  <c r="T33" i="4"/>
  <c r="V25" i="4"/>
  <c r="T24" i="4"/>
  <c r="V17" i="4"/>
  <c r="V16" i="4"/>
  <c r="P33" i="4"/>
  <c r="R25" i="4"/>
  <c r="P24" i="4"/>
  <c r="R17" i="4"/>
  <c r="R16" i="4"/>
  <c r="L33" i="4"/>
  <c r="N25" i="4"/>
  <c r="N17" i="4"/>
  <c r="N16" i="4"/>
  <c r="J25" i="4"/>
  <c r="J59" i="8"/>
  <c r="J58" i="8"/>
  <c r="H59" i="8"/>
  <c r="H39" i="8"/>
  <c r="H58" i="8"/>
  <c r="H38" i="8"/>
  <c r="J56" i="8"/>
  <c r="J126" i="8" s="1"/>
  <c r="J53" i="8"/>
  <c r="J52" i="8"/>
  <c r="H52" i="8"/>
  <c r="AB10" i="8" l="1"/>
  <c r="AC8" i="8"/>
  <c r="AC10" i="8" s="1"/>
  <c r="D28" i="18"/>
  <c r="D27" i="18"/>
  <c r="AB17" i="8"/>
  <c r="P22" i="4"/>
  <c r="U11" i="8"/>
  <c r="U31" i="8" s="1"/>
  <c r="U33" i="8" s="1"/>
  <c r="T31" i="8"/>
  <c r="T12" i="8"/>
  <c r="T51" i="8"/>
  <c r="X31" i="8"/>
  <c r="X51" i="8"/>
  <c r="X12" i="8"/>
  <c r="P16" i="8"/>
  <c r="P12" i="8"/>
  <c r="P31" i="8"/>
  <c r="P51" i="8"/>
  <c r="L51" i="8"/>
  <c r="L31" i="8"/>
  <c r="L12" i="8"/>
  <c r="J42" i="8"/>
  <c r="J57" i="8"/>
  <c r="J127" i="8" s="1"/>
  <c r="J36" i="8"/>
  <c r="J102" i="8" s="1"/>
  <c r="J62" i="8"/>
  <c r="J132" i="8" s="1"/>
  <c r="AB18" i="8" l="1"/>
  <c r="Y12" i="8"/>
  <c r="T33" i="8"/>
  <c r="M12" i="8"/>
  <c r="Q12" i="8"/>
  <c r="U12" i="8"/>
  <c r="X33" i="8"/>
  <c r="P33" i="8"/>
  <c r="L33" i="8"/>
  <c r="J37" i="8"/>
  <c r="J103" i="8" s="1"/>
  <c r="J63" i="8"/>
  <c r="J133" i="8" s="1"/>
  <c r="H56" i="8"/>
  <c r="H126" i="8" s="1"/>
  <c r="H53" i="8"/>
  <c r="E7" i="4"/>
  <c r="E8" i="4" s="1"/>
  <c r="J17" i="4"/>
  <c r="J39" i="8"/>
  <c r="J38" i="8"/>
  <c r="H25" i="8" a="1"/>
  <c r="H25" i="8" s="1"/>
  <c r="H21" i="8"/>
  <c r="H7" i="8"/>
  <c r="J138" i="8"/>
  <c r="I5" i="8"/>
  <c r="H5" i="8"/>
  <c r="H15" i="8" s="1"/>
  <c r="J137" i="8"/>
  <c r="I4" i="8"/>
  <c r="H4" i="8"/>
  <c r="H137" i="8" s="1"/>
  <c r="H33" i="4"/>
  <c r="J16" i="4"/>
  <c r="D21" i="18" l="1"/>
  <c r="D29" i="18"/>
  <c r="AB19" i="8"/>
  <c r="T35" i="8"/>
  <c r="T55" i="8"/>
  <c r="T41" i="8"/>
  <c r="T61" i="8"/>
  <c r="X41" i="8"/>
  <c r="X55" i="8"/>
  <c r="X35" i="8"/>
  <c r="X61" i="8"/>
  <c r="P55" i="8"/>
  <c r="P61" i="8"/>
  <c r="P41" i="8"/>
  <c r="P35" i="8"/>
  <c r="L61" i="8"/>
  <c r="L55" i="8"/>
  <c r="L41" i="8"/>
  <c r="L35" i="8"/>
  <c r="H138" i="8"/>
  <c r="H14" i="8"/>
  <c r="H57" i="8"/>
  <c r="H127" i="8" s="1"/>
  <c r="H36" i="8"/>
  <c r="H102" i="8" s="1"/>
  <c r="H9" i="8"/>
  <c r="H42" i="8"/>
  <c r="H62" i="8"/>
  <c r="H132" i="8" s="1"/>
  <c r="I7" i="8"/>
  <c r="H44" i="8"/>
  <c r="AC16" i="8" l="1"/>
  <c r="AC17" i="8"/>
  <c r="AC18" i="8" s="1"/>
  <c r="H22" i="4"/>
  <c r="D26" i="18"/>
  <c r="D25" i="18"/>
  <c r="H37" i="8"/>
  <c r="H103" i="8" s="1"/>
  <c r="H63" i="8"/>
  <c r="H133" i="8" s="1"/>
  <c r="H16" i="8"/>
  <c r="H11" i="8"/>
  <c r="I9" i="8"/>
  <c r="H24" i="4"/>
  <c r="AC14" i="8" l="1"/>
  <c r="AC20" i="8" s="1"/>
  <c r="H51" i="8"/>
  <c r="H31" i="8"/>
  <c r="I11" i="8"/>
  <c r="H12" i="8"/>
  <c r="H23" i="8"/>
  <c r="AD7" i="8" l="1"/>
  <c r="AD12" i="8"/>
  <c r="AD8" i="8"/>
  <c r="E13" i="18"/>
  <c r="AD6" i="8"/>
  <c r="AD16" i="8"/>
  <c r="AD13" i="8"/>
  <c r="AD17" i="8"/>
  <c r="AD10" i="8"/>
  <c r="AD14" i="8"/>
  <c r="AD9" i="8"/>
  <c r="AD11" i="8"/>
  <c r="E12" i="18"/>
  <c r="E30" i="18" s="1"/>
  <c r="AD18" i="8"/>
  <c r="L51" i="4"/>
  <c r="X51" i="4"/>
  <c r="T51" i="4"/>
  <c r="P51" i="4"/>
  <c r="I12" i="8"/>
  <c r="I31" i="8"/>
  <c r="H33" i="8"/>
  <c r="I23" i="8"/>
  <c r="E21" i="18" l="1"/>
  <c r="E28" i="18"/>
  <c r="E18" i="18"/>
  <c r="E17" i="18"/>
  <c r="E29" i="18"/>
  <c r="E10" i="18"/>
  <c r="E27" i="18"/>
  <c r="E19" i="18"/>
  <c r="E11" i="18"/>
  <c r="AD15" i="8"/>
  <c r="E20" i="18"/>
  <c r="AD19" i="8"/>
  <c r="E25" i="18" s="1"/>
  <c r="I33" i="8"/>
  <c r="H61" i="8"/>
  <c r="H41" i="8"/>
  <c r="H35" i="8"/>
  <c r="H55" i="8"/>
  <c r="E26" i="18" l="1"/>
  <c r="E22" i="18"/>
  <c r="H51" i="4"/>
  <c r="V146" i="8" l="1"/>
  <c r="N146" i="8"/>
  <c r="V145" i="8" l="1"/>
  <c r="V150" i="8"/>
  <c r="V66" i="8"/>
  <c r="V68" i="8"/>
  <c r="N145" i="8"/>
  <c r="N89" i="8" s="1"/>
  <c r="N150" i="8"/>
  <c r="N68" i="8"/>
  <c r="N66" i="8"/>
  <c r="V149" i="8" l="1"/>
  <c r="V65" i="8"/>
  <c r="V67" i="8"/>
  <c r="V89" i="8"/>
  <c r="N65" i="8"/>
  <c r="N149" i="8"/>
  <c r="N67" i="8"/>
  <c r="N291" i="8"/>
  <c r="N279" i="8"/>
  <c r="N267" i="8"/>
  <c r="N255" i="8"/>
  <c r="N290" i="8"/>
  <c r="N278" i="8"/>
  <c r="N266" i="8"/>
  <c r="N254" i="8"/>
  <c r="N300" i="8"/>
  <c r="N288" i="8"/>
  <c r="N276" i="8"/>
  <c r="N264" i="8"/>
  <c r="N252" i="8"/>
  <c r="N240" i="8"/>
  <c r="N299" i="8"/>
  <c r="N287" i="8"/>
  <c r="N275" i="8"/>
  <c r="N263" i="8"/>
  <c r="N251" i="8"/>
  <c r="N239" i="8"/>
  <c r="N298" i="8"/>
  <c r="N286" i="8"/>
  <c r="N274" i="8"/>
  <c r="N262" i="8"/>
  <c r="N250" i="8"/>
  <c r="N238" i="8"/>
  <c r="N285" i="8"/>
  <c r="N268" i="8"/>
  <c r="N246" i="8"/>
  <c r="N231" i="8"/>
  <c r="N233" i="8"/>
  <c r="N284" i="8"/>
  <c r="N265" i="8"/>
  <c r="N245" i="8"/>
  <c r="N230" i="8"/>
  <c r="N283" i="8"/>
  <c r="N261" i="8"/>
  <c r="N244" i="8"/>
  <c r="N229" i="8"/>
  <c r="N270" i="8"/>
  <c r="N282" i="8"/>
  <c r="N260" i="8"/>
  <c r="N243" i="8"/>
  <c r="N301" i="8"/>
  <c r="N281" i="8"/>
  <c r="N259" i="8"/>
  <c r="N242" i="8"/>
  <c r="N248" i="8"/>
  <c r="N297" i="8"/>
  <c r="N280" i="8"/>
  <c r="N258" i="8"/>
  <c r="N241" i="8"/>
  <c r="N296" i="8"/>
  <c r="N277" i="8"/>
  <c r="N257" i="8"/>
  <c r="N237" i="8"/>
  <c r="N295" i="8"/>
  <c r="N273" i="8"/>
  <c r="N256" i="8"/>
  <c r="N236" i="8"/>
  <c r="N294" i="8"/>
  <c r="N272" i="8"/>
  <c r="N253" i="8"/>
  <c r="N235" i="8"/>
  <c r="N293" i="8"/>
  <c r="N271" i="8"/>
  <c r="N249" i="8"/>
  <c r="N234" i="8"/>
  <c r="N292" i="8"/>
  <c r="N289" i="8"/>
  <c r="N269" i="8"/>
  <c r="N247" i="8"/>
  <c r="N232" i="8"/>
  <c r="V295" i="8"/>
  <c r="V283" i="8"/>
  <c r="V271" i="8"/>
  <c r="V259" i="8"/>
  <c r="V247" i="8"/>
  <c r="V235" i="8"/>
  <c r="V294" i="8"/>
  <c r="V282" i="8"/>
  <c r="V270" i="8"/>
  <c r="V258" i="8"/>
  <c r="V246" i="8"/>
  <c r="V234" i="8"/>
  <c r="V293" i="8"/>
  <c r="V281" i="8"/>
  <c r="V269" i="8"/>
  <c r="V257" i="8"/>
  <c r="V245" i="8"/>
  <c r="V233" i="8"/>
  <c r="V292" i="8"/>
  <c r="V280" i="8"/>
  <c r="V268" i="8"/>
  <c r="V256" i="8"/>
  <c r="V244" i="8"/>
  <c r="V232" i="8"/>
  <c r="V291" i="8"/>
  <c r="V279" i="8"/>
  <c r="V267" i="8"/>
  <c r="V255" i="8"/>
  <c r="V243" i="8"/>
  <c r="V231" i="8"/>
  <c r="V290" i="8"/>
  <c r="V278" i="8"/>
  <c r="V266" i="8"/>
  <c r="V254" i="8"/>
  <c r="V242" i="8"/>
  <c r="V230" i="8"/>
  <c r="V301" i="8"/>
  <c r="V289" i="8"/>
  <c r="V277" i="8"/>
  <c r="V265" i="8"/>
  <c r="V253" i="8"/>
  <c r="V241" i="8"/>
  <c r="V229" i="8"/>
  <c r="V300" i="8"/>
  <c r="V288" i="8"/>
  <c r="V276" i="8"/>
  <c r="V264" i="8"/>
  <c r="V252" i="8"/>
  <c r="V240" i="8"/>
  <c r="V299" i="8"/>
  <c r="V287" i="8"/>
  <c r="V275" i="8"/>
  <c r="V263" i="8"/>
  <c r="V251" i="8"/>
  <c r="V239" i="8"/>
  <c r="V298" i="8"/>
  <c r="V286" i="8"/>
  <c r="V274" i="8"/>
  <c r="V262" i="8"/>
  <c r="V250" i="8"/>
  <c r="V238" i="8"/>
  <c r="V296" i="8"/>
  <c r="V284" i="8"/>
  <c r="V272" i="8"/>
  <c r="V260" i="8"/>
  <c r="V248" i="8"/>
  <c r="V236" i="8"/>
  <c r="V297" i="8"/>
  <c r="V249" i="8"/>
  <c r="V285" i="8"/>
  <c r="V273" i="8"/>
  <c r="V261" i="8"/>
  <c r="V237" i="8"/>
  <c r="V225" i="8" l="1"/>
  <c r="V213" i="8"/>
  <c r="V201" i="8"/>
  <c r="V189" i="8"/>
  <c r="V177" i="8"/>
  <c r="V165" i="8"/>
  <c r="V224" i="8"/>
  <c r="V212" i="8"/>
  <c r="V200" i="8"/>
  <c r="V188" i="8"/>
  <c r="V176" i="8"/>
  <c r="V164" i="8"/>
  <c r="V223" i="8"/>
  <c r="V211" i="8"/>
  <c r="V199" i="8"/>
  <c r="V187" i="8"/>
  <c r="V175" i="8"/>
  <c r="V163" i="8"/>
  <c r="V220" i="8"/>
  <c r="V205" i="8"/>
  <c r="V190" i="8"/>
  <c r="V172" i="8"/>
  <c r="V157" i="8"/>
  <c r="V218" i="8"/>
  <c r="V203" i="8"/>
  <c r="V185" i="8"/>
  <c r="V170" i="8"/>
  <c r="V155" i="8"/>
  <c r="V217" i="8"/>
  <c r="V202" i="8"/>
  <c r="V184" i="8"/>
  <c r="V169" i="8"/>
  <c r="V216" i="8"/>
  <c r="V198" i="8"/>
  <c r="V183" i="8"/>
  <c r="V168" i="8"/>
  <c r="V215" i="8"/>
  <c r="V197" i="8"/>
  <c r="V182" i="8"/>
  <c r="V167" i="8"/>
  <c r="V214" i="8"/>
  <c r="V196" i="8"/>
  <c r="V181" i="8"/>
  <c r="V166" i="8"/>
  <c r="V210" i="8"/>
  <c r="V195" i="8"/>
  <c r="V180" i="8"/>
  <c r="V162" i="8"/>
  <c r="V226" i="8"/>
  <c r="V208" i="8"/>
  <c r="V193" i="8"/>
  <c r="V178" i="8"/>
  <c r="V160" i="8"/>
  <c r="V191" i="8"/>
  <c r="V134" i="8" s="1"/>
  <c r="V186" i="8"/>
  <c r="V222" i="8"/>
  <c r="V221" i="8"/>
  <c r="V227" i="8"/>
  <c r="V179" i="8"/>
  <c r="V174" i="8"/>
  <c r="V219" i="8"/>
  <c r="V171" i="8"/>
  <c r="V204" i="8"/>
  <c r="V194" i="8"/>
  <c r="V209" i="8"/>
  <c r="V161" i="8"/>
  <c r="V207" i="8"/>
  <c r="V159" i="8"/>
  <c r="V156" i="8"/>
  <c r="V206" i="8"/>
  <c r="V158" i="8"/>
  <c r="V192" i="8"/>
  <c r="V173" i="8"/>
  <c r="N227" i="8"/>
  <c r="N215" i="8"/>
  <c r="N203" i="8"/>
  <c r="N191" i="8"/>
  <c r="N134" i="8" s="1"/>
  <c r="N179" i="8"/>
  <c r="N217" i="8"/>
  <c r="N204" i="8"/>
  <c r="N190" i="8"/>
  <c r="N177" i="8"/>
  <c r="N165" i="8"/>
  <c r="N214" i="8"/>
  <c r="N201" i="8"/>
  <c r="N188" i="8"/>
  <c r="N175" i="8"/>
  <c r="N163" i="8"/>
  <c r="N226" i="8"/>
  <c r="N213" i="8"/>
  <c r="N200" i="8"/>
  <c r="N187" i="8"/>
  <c r="N174" i="8"/>
  <c r="N162" i="8"/>
  <c r="N225" i="8"/>
  <c r="N212" i="8"/>
  <c r="N199" i="8"/>
  <c r="N186" i="8"/>
  <c r="N173" i="8"/>
  <c r="N161" i="8"/>
  <c r="N224" i="8"/>
  <c r="N211" i="8"/>
  <c r="N198" i="8"/>
  <c r="N185" i="8"/>
  <c r="N172" i="8"/>
  <c r="N160" i="8"/>
  <c r="N223" i="8"/>
  <c r="N210" i="8"/>
  <c r="N197" i="8"/>
  <c r="N184" i="8"/>
  <c r="N171" i="8"/>
  <c r="N159" i="8"/>
  <c r="N220" i="8"/>
  <c r="N207" i="8"/>
  <c r="N194" i="8"/>
  <c r="N181" i="8"/>
  <c r="N168" i="8"/>
  <c r="N156" i="8"/>
  <c r="N202" i="8"/>
  <c r="N169" i="8"/>
  <c r="N196" i="8"/>
  <c r="N167" i="8"/>
  <c r="N222" i="8"/>
  <c r="N221" i="8"/>
  <c r="N195" i="8"/>
  <c r="N166" i="8"/>
  <c r="N193" i="8"/>
  <c r="N158" i="8"/>
  <c r="N206" i="8"/>
  <c r="N164" i="8"/>
  <c r="N219" i="8"/>
  <c r="N189" i="8"/>
  <c r="N157" i="8"/>
  <c r="N209" i="8"/>
  <c r="N178" i="8"/>
  <c r="N218" i="8"/>
  <c r="N183" i="8"/>
  <c r="N155" i="8"/>
  <c r="N216" i="8"/>
  <c r="N182" i="8"/>
  <c r="N180" i="8"/>
  <c r="N208" i="8"/>
  <c r="N205" i="8"/>
  <c r="N170" i="8"/>
  <c r="N192" i="8"/>
  <c r="N176" i="8"/>
  <c r="X19" i="4" l="1"/>
  <c r="X20" i="4" s="1"/>
  <c r="X6" i="8" s="1"/>
  <c r="Y6" i="8" l="1"/>
  <c r="X13" i="8"/>
  <c r="X43" i="8"/>
  <c r="X8" i="8"/>
  <c r="Y8" i="8" s="1"/>
  <c r="X22" i="8"/>
  <c r="X10" i="8" l="1"/>
  <c r="X17" i="8"/>
  <c r="X18" i="8" s="1"/>
  <c r="Y13" i="8"/>
  <c r="X30" i="8"/>
  <c r="X24" i="8"/>
  <c r="X50" i="8"/>
  <c r="X49" i="8"/>
  <c r="X28" i="8"/>
  <c r="Y17" i="8"/>
  <c r="Y10" i="8"/>
  <c r="X30" i="4"/>
  <c r="X31" i="4"/>
  <c r="Y16" i="8" l="1"/>
  <c r="Y14" i="8" s="1"/>
  <c r="X23" i="4"/>
  <c r="Y28" i="8"/>
  <c r="X29" i="8"/>
  <c r="Y18" i="8"/>
  <c r="X19" i="8"/>
  <c r="X47" i="8"/>
  <c r="X48" i="8"/>
  <c r="Y24" i="8"/>
  <c r="X26" i="8" a="1"/>
  <c r="X26" i="8" s="1"/>
  <c r="Y30" i="8"/>
  <c r="X32" i="8"/>
  <c r="X45" i="8"/>
  <c r="X32" i="4"/>
  <c r="X46" i="8" l="1"/>
  <c r="X34" i="8"/>
  <c r="X40" i="8"/>
  <c r="X54" i="8"/>
  <c r="X60" i="8"/>
  <c r="Y32" i="8"/>
  <c r="Y29" i="8"/>
  <c r="Y20" i="8"/>
  <c r="Z23" i="8" s="1"/>
  <c r="Y26" i="8"/>
  <c r="X27" i="8"/>
  <c r="X28" i="4"/>
  <c r="X29" i="4"/>
  <c r="X56" i="4" l="1"/>
  <c r="X55" i="4"/>
  <c r="Z7" i="8"/>
  <c r="Z6" i="8"/>
  <c r="Z8" i="8"/>
  <c r="Z13" i="8"/>
  <c r="Z12" i="8"/>
  <c r="Z9" i="8"/>
  <c r="Z16" i="8"/>
  <c r="Z17" i="8"/>
  <c r="Z10" i="8"/>
  <c r="Z11" i="8"/>
  <c r="Z29" i="8"/>
  <c r="Z28" i="8"/>
  <c r="Z18" i="8"/>
  <c r="Y27" i="8"/>
  <c r="Z27" i="8" s="1"/>
  <c r="Z31" i="8"/>
  <c r="Z24" i="8"/>
  <c r="Z14" i="8"/>
  <c r="Z30" i="8"/>
  <c r="Z33" i="8"/>
  <c r="Z32" i="8"/>
  <c r="X50" i="4"/>
  <c r="X57" i="4"/>
  <c r="Z14" i="4"/>
  <c r="Z33" i="4" s="1"/>
  <c r="Z46" i="4"/>
  <c r="Z15" i="4"/>
  <c r="X53" i="4"/>
  <c r="X52" i="4"/>
  <c r="X54" i="4"/>
  <c r="Z23" i="4" l="1"/>
  <c r="Z22" i="4"/>
  <c r="Z21" i="4"/>
  <c r="Z21" i="8"/>
  <c r="Z55" i="8"/>
  <c r="Z35" i="8"/>
  <c r="Z61" i="8"/>
  <c r="Z41" i="8"/>
  <c r="Z51" i="8"/>
  <c r="Z15" i="8"/>
  <c r="Z43" i="8"/>
  <c r="Z19" i="8"/>
  <c r="Z26" i="8"/>
  <c r="Z44" i="8"/>
  <c r="Z54" i="8"/>
  <c r="Z34" i="8"/>
  <c r="Z60" i="8"/>
  <c r="Z40" i="8"/>
  <c r="Z19" i="4"/>
  <c r="Z20" i="4"/>
  <c r="Z31" i="4"/>
  <c r="Z13" i="4"/>
  <c r="Z27" i="4"/>
  <c r="Z30" i="4"/>
  <c r="Z12" i="4"/>
  <c r="Z32" i="4"/>
  <c r="Z56" i="4" l="1"/>
  <c r="Z55" i="4"/>
  <c r="Z22" i="8"/>
  <c r="Z50" i="8" s="1"/>
  <c r="Z45" i="8"/>
  <c r="Z57" i="4" s="1"/>
  <c r="Z24" i="4"/>
  <c r="Z51" i="4"/>
  <c r="Z50" i="4"/>
  <c r="Z29" i="4"/>
  <c r="Z28" i="4"/>
  <c r="Z49" i="8" l="1"/>
  <c r="Z48" i="8" l="1"/>
  <c r="Z47" i="8"/>
  <c r="Z138" i="8" l="1"/>
  <c r="Z46" i="8"/>
  <c r="Z137" i="8" l="1"/>
  <c r="Z54" i="4"/>
  <c r="Z52" i="4"/>
  <c r="Z53" i="4"/>
  <c r="X146" i="8" l="1"/>
  <c r="T19" i="4"/>
  <c r="T20" i="4" s="1"/>
  <c r="T6" i="8" s="1"/>
  <c r="X87" i="8" l="1"/>
  <c r="X76" i="8"/>
  <c r="X79" i="8"/>
  <c r="X83" i="8"/>
  <c r="X82" i="8"/>
  <c r="X74" i="8"/>
  <c r="X150" i="8"/>
  <c r="X81" i="8"/>
  <c r="X68" i="8"/>
  <c r="X66" i="8"/>
  <c r="X70" i="8"/>
  <c r="X92" i="8"/>
  <c r="X121" i="8"/>
  <c r="X91" i="8"/>
  <c r="X145" i="8"/>
  <c r="T13" i="8"/>
  <c r="T43" i="8"/>
  <c r="T8" i="8"/>
  <c r="U8" i="8" s="1"/>
  <c r="U6" i="8"/>
  <c r="U13" i="8"/>
  <c r="T22" i="8"/>
  <c r="T17" i="8" l="1"/>
  <c r="T10" i="8"/>
  <c r="T31" i="4" s="1"/>
  <c r="X393" i="8"/>
  <c r="X391" i="8"/>
  <c r="X413" i="8"/>
  <c r="X411" i="8"/>
  <c r="X409" i="8"/>
  <c r="X406" i="8"/>
  <c r="X428" i="8"/>
  <c r="X446" i="8"/>
  <c r="X436" i="8"/>
  <c r="X431" i="8"/>
  <c r="X412" i="8"/>
  <c r="X381" i="8"/>
  <c r="X379" i="8"/>
  <c r="X401" i="8"/>
  <c r="X399" i="8"/>
  <c r="X397" i="8"/>
  <c r="X394" i="8"/>
  <c r="X438" i="8"/>
  <c r="X443" i="8"/>
  <c r="X426" i="8"/>
  <c r="X432" i="8"/>
  <c r="X392" i="8"/>
  <c r="X408" i="8"/>
  <c r="X440" i="8"/>
  <c r="X450" i="8"/>
  <c r="X389" i="8"/>
  <c r="X387" i="8"/>
  <c r="X385" i="8"/>
  <c r="X382" i="8"/>
  <c r="X448" i="8"/>
  <c r="X444" i="8"/>
  <c r="X416" i="8"/>
  <c r="X434" i="8"/>
  <c r="X410" i="8"/>
  <c r="X407" i="8"/>
  <c r="X404" i="8"/>
  <c r="X414" i="8"/>
  <c r="X424" i="8"/>
  <c r="X422" i="8"/>
  <c r="X420" i="8"/>
  <c r="X419" i="8"/>
  <c r="X402" i="8"/>
  <c r="X390" i="8"/>
  <c r="X445" i="8"/>
  <c r="X378" i="8"/>
  <c r="X433" i="8"/>
  <c r="X441" i="8"/>
  <c r="X396" i="8"/>
  <c r="X380" i="8"/>
  <c r="X435" i="8"/>
  <c r="X383" i="8"/>
  <c r="X415" i="8"/>
  <c r="X449" i="8"/>
  <c r="X421" i="8"/>
  <c r="X437" i="8"/>
  <c r="X447" i="8"/>
  <c r="X386" i="8"/>
  <c r="X429" i="8"/>
  <c r="X425" i="8"/>
  <c r="X384" i="8"/>
  <c r="X400" i="8"/>
  <c r="X405" i="8"/>
  <c r="X430" i="8"/>
  <c r="X439" i="8"/>
  <c r="X423" i="8"/>
  <c r="X398" i="8"/>
  <c r="X403" i="8"/>
  <c r="X417" i="8"/>
  <c r="X442" i="8"/>
  <c r="X388" i="8"/>
  <c r="X418" i="8"/>
  <c r="X395" i="8"/>
  <c r="X427" i="8"/>
  <c r="X293" i="8"/>
  <c r="X291" i="8"/>
  <c r="X301" i="8"/>
  <c r="X240" i="8"/>
  <c r="X238" i="8"/>
  <c r="X236" i="8"/>
  <c r="X235" i="8"/>
  <c r="X263" i="8"/>
  <c r="X229" i="8"/>
  <c r="X281" i="8"/>
  <c r="X279" i="8"/>
  <c r="X289" i="8"/>
  <c r="X299" i="8"/>
  <c r="X297" i="8"/>
  <c r="X294" i="8"/>
  <c r="X255" i="8"/>
  <c r="X275" i="8"/>
  <c r="X270" i="8"/>
  <c r="X243" i="8"/>
  <c r="X261" i="8"/>
  <c r="X290" i="8"/>
  <c r="X234" i="8"/>
  <c r="X269" i="8"/>
  <c r="X267" i="8"/>
  <c r="X277" i="8"/>
  <c r="X287" i="8"/>
  <c r="X285" i="8"/>
  <c r="X282" i="8"/>
  <c r="X257" i="8"/>
  <c r="X265" i="8"/>
  <c r="X273" i="8"/>
  <c r="X245" i="8"/>
  <c r="X253" i="8"/>
  <c r="X258" i="8"/>
  <c r="X239" i="8"/>
  <c r="X233" i="8"/>
  <c r="X231" i="8"/>
  <c r="X241" i="8"/>
  <c r="X251" i="8"/>
  <c r="X249" i="8"/>
  <c r="X246" i="8"/>
  <c r="X292" i="8"/>
  <c r="X237" i="8"/>
  <c r="X288" i="8"/>
  <c r="X260" i="8"/>
  <c r="X280" i="8"/>
  <c r="X276" i="8"/>
  <c r="X248" i="8"/>
  <c r="X256" i="8"/>
  <c r="X295" i="8"/>
  <c r="X278" i="8"/>
  <c r="X242" i="8"/>
  <c r="X284" i="8"/>
  <c r="X300" i="8"/>
  <c r="X268" i="8"/>
  <c r="X264" i="8"/>
  <c r="X247" i="8"/>
  <c r="X252" i="8"/>
  <c r="X259" i="8"/>
  <c r="X266" i="8"/>
  <c r="X230" i="8"/>
  <c r="X272" i="8"/>
  <c r="X244" i="8"/>
  <c r="X298" i="8"/>
  <c r="X283" i="8"/>
  <c r="X232" i="8"/>
  <c r="X271" i="8"/>
  <c r="X274" i="8"/>
  <c r="X254" i="8"/>
  <c r="X296" i="8"/>
  <c r="X286" i="8"/>
  <c r="X262" i="8"/>
  <c r="X250" i="8"/>
  <c r="X72" i="8"/>
  <c r="X125" i="8"/>
  <c r="X109" i="8"/>
  <c r="X78" i="8"/>
  <c r="X95" i="8"/>
  <c r="X98" i="8"/>
  <c r="X101" i="8"/>
  <c r="X107" i="8"/>
  <c r="X131" i="8"/>
  <c r="X115" i="8"/>
  <c r="X149" i="8"/>
  <c r="X67" i="8"/>
  <c r="X89" i="8"/>
  <c r="X65" i="8"/>
  <c r="X69" i="8"/>
  <c r="X84" i="8"/>
  <c r="X73" i="8"/>
  <c r="X80" i="8"/>
  <c r="X75" i="8"/>
  <c r="X88" i="8"/>
  <c r="X85" i="8"/>
  <c r="X93" i="8"/>
  <c r="X120" i="8"/>
  <c r="X86" i="8"/>
  <c r="X90" i="8"/>
  <c r="T18" i="8"/>
  <c r="T23" i="4" s="1"/>
  <c r="U16" i="8"/>
  <c r="U14" i="8" s="1"/>
  <c r="U17" i="8"/>
  <c r="U10" i="8"/>
  <c r="T24" i="8"/>
  <c r="T50" i="8"/>
  <c r="T28" i="8"/>
  <c r="T49" i="8"/>
  <c r="T30" i="8" l="1"/>
  <c r="T30" i="4"/>
  <c r="X196" i="8"/>
  <c r="X186" i="8"/>
  <c r="X180" i="8"/>
  <c r="X225" i="8"/>
  <c r="X189" i="8"/>
  <c r="X169" i="8"/>
  <c r="X160" i="8"/>
  <c r="X177" i="8"/>
  <c r="X182" i="8"/>
  <c r="X202" i="8"/>
  <c r="X197" i="8"/>
  <c r="X206" i="8"/>
  <c r="X226" i="8"/>
  <c r="X211" i="8"/>
  <c r="X159" i="8"/>
  <c r="X155" i="8"/>
  <c r="X198" i="8"/>
  <c r="X184" i="8"/>
  <c r="X168" i="8"/>
  <c r="X165" i="8"/>
  <c r="X210" i="8"/>
  <c r="X174" i="8"/>
  <c r="X217" i="8"/>
  <c r="X212" i="8"/>
  <c r="X157" i="8"/>
  <c r="X219" i="8"/>
  <c r="X162" i="8"/>
  <c r="X195" i="8"/>
  <c r="X190" i="8"/>
  <c r="X183" i="8"/>
  <c r="X188" i="8"/>
  <c r="X181" i="8"/>
  <c r="X166" i="8"/>
  <c r="X220" i="8"/>
  <c r="X178" i="8"/>
  <c r="X163" i="8"/>
  <c r="X172" i="8"/>
  <c r="X215" i="8"/>
  <c r="X227" i="8"/>
  <c r="X192" i="8"/>
  <c r="X156" i="8"/>
  <c r="X223" i="8"/>
  <c r="X200" i="8"/>
  <c r="X203" i="8"/>
  <c r="X221" i="8"/>
  <c r="X194" i="8"/>
  <c r="X205" i="8"/>
  <c r="X214" i="8"/>
  <c r="X185" i="8"/>
  <c r="X191" i="8"/>
  <c r="X134" i="8" s="1"/>
  <c r="X173" i="8"/>
  <c r="X176" i="8"/>
  <c r="X193" i="8"/>
  <c r="X216" i="8"/>
  <c r="X222" i="8"/>
  <c r="X208" i="8"/>
  <c r="X204" i="8"/>
  <c r="X209" i="8"/>
  <c r="X207" i="8"/>
  <c r="X167" i="8"/>
  <c r="X179" i="8"/>
  <c r="X224" i="8"/>
  <c r="X187" i="8"/>
  <c r="X164" i="8"/>
  <c r="X199" i="8"/>
  <c r="X171" i="8"/>
  <c r="X175" i="8"/>
  <c r="X161" i="8"/>
  <c r="X158" i="8"/>
  <c r="X213" i="8"/>
  <c r="X170" i="8"/>
  <c r="X201" i="8"/>
  <c r="X218" i="8"/>
  <c r="X71" i="8"/>
  <c r="X108" i="8"/>
  <c r="X77" i="8"/>
  <c r="X94" i="8"/>
  <c r="X97" i="8"/>
  <c r="X114" i="8"/>
  <c r="X100" i="8"/>
  <c r="X106" i="8"/>
  <c r="X130" i="8"/>
  <c r="X124" i="8"/>
  <c r="X119" i="8"/>
  <c r="X117" i="8"/>
  <c r="X113" i="8"/>
  <c r="X111" i="8"/>
  <c r="X317" i="8"/>
  <c r="X365" i="8"/>
  <c r="X345" i="8"/>
  <c r="X363" i="8"/>
  <c r="X307" i="8"/>
  <c r="X376" i="8"/>
  <c r="X329" i="8"/>
  <c r="X309" i="8"/>
  <c r="X325" i="8"/>
  <c r="X362" i="8"/>
  <c r="X346" i="8"/>
  <c r="X364" i="8"/>
  <c r="X320" i="8"/>
  <c r="X323" i="8"/>
  <c r="X324" i="8"/>
  <c r="X334" i="8"/>
  <c r="X332" i="8"/>
  <c r="X314" i="8"/>
  <c r="X367" i="8"/>
  <c r="X310" i="8"/>
  <c r="X312" i="8"/>
  <c r="X371" i="8"/>
  <c r="X366" i="8"/>
  <c r="X316" i="8"/>
  <c r="X306" i="8"/>
  <c r="X351" i="8"/>
  <c r="X368" i="8"/>
  <c r="X356" i="8"/>
  <c r="X342" i="8"/>
  <c r="X358" i="8"/>
  <c r="X311" i="8"/>
  <c r="X370" i="8"/>
  <c r="X347" i="8"/>
  <c r="X330" i="8"/>
  <c r="X374" i="8"/>
  <c r="X372" i="8"/>
  <c r="X343" i="8"/>
  <c r="X361" i="8"/>
  <c r="X336" i="8"/>
  <c r="X333" i="8"/>
  <c r="X360" i="8"/>
  <c r="X359" i="8"/>
  <c r="X373" i="8"/>
  <c r="X352" i="8"/>
  <c r="X355" i="8"/>
  <c r="X331" i="8"/>
  <c r="X322" i="8"/>
  <c r="X350" i="8"/>
  <c r="X354" i="8"/>
  <c r="X305" i="8"/>
  <c r="X313" i="8"/>
  <c r="X337" i="8"/>
  <c r="X339" i="8"/>
  <c r="X326" i="8"/>
  <c r="X308" i="8"/>
  <c r="X327" i="8"/>
  <c r="X353" i="8"/>
  <c r="X344" i="8"/>
  <c r="X340" i="8"/>
  <c r="X375" i="8"/>
  <c r="X341" i="8"/>
  <c r="X369" i="8"/>
  <c r="X335" i="8"/>
  <c r="X338" i="8"/>
  <c r="X349" i="8"/>
  <c r="X304" i="8"/>
  <c r="X135" i="8" s="1"/>
  <c r="X319" i="8"/>
  <c r="X328" i="8"/>
  <c r="X348" i="8"/>
  <c r="X321" i="8"/>
  <c r="X357" i="8"/>
  <c r="X318" i="8"/>
  <c r="X315" i="8"/>
  <c r="U24" i="8"/>
  <c r="T26" i="8" a="1"/>
  <c r="T26" i="8" s="1"/>
  <c r="U30" i="8"/>
  <c r="U18" i="8"/>
  <c r="U20" i="8" s="1"/>
  <c r="T32" i="8"/>
  <c r="T45" i="8"/>
  <c r="T47" i="8"/>
  <c r="T48" i="8"/>
  <c r="U28" i="8"/>
  <c r="T29" i="8"/>
  <c r="T19" i="8"/>
  <c r="T32" i="4"/>
  <c r="X112" i="8" l="1"/>
  <c r="X110" i="8"/>
  <c r="X116" i="8"/>
  <c r="X118" i="8"/>
  <c r="V7" i="8"/>
  <c r="V21" i="4" s="1"/>
  <c r="V6" i="8"/>
  <c r="V9" i="8"/>
  <c r="V74" i="8" s="1"/>
  <c r="V12" i="8"/>
  <c r="V79" i="8" s="1"/>
  <c r="V13" i="8"/>
  <c r="V80" i="8" s="1"/>
  <c r="V8" i="8"/>
  <c r="V73" i="8" s="1"/>
  <c r="V11" i="8"/>
  <c r="V10" i="8"/>
  <c r="V17" i="8"/>
  <c r="V84" i="8" s="1"/>
  <c r="V16" i="8"/>
  <c r="V83" i="8" s="1"/>
  <c r="U32" i="8"/>
  <c r="V31" i="8"/>
  <c r="V30" i="8"/>
  <c r="V94" i="8" s="1"/>
  <c r="T60" i="8"/>
  <c r="T40" i="8"/>
  <c r="T34" i="8"/>
  <c r="T54" i="8"/>
  <c r="U29" i="8"/>
  <c r="T46" i="8"/>
  <c r="U26" i="8"/>
  <c r="T27" i="8"/>
  <c r="V18" i="8"/>
  <c r="V85" i="8" s="1"/>
  <c r="V14" i="8"/>
  <c r="V24" i="8"/>
  <c r="V88" i="8" s="1"/>
  <c r="V23" i="8"/>
  <c r="V87" i="8" s="1"/>
  <c r="T28" i="4"/>
  <c r="T29" i="4"/>
  <c r="V15" i="4"/>
  <c r="V14" i="4"/>
  <c r="V33" i="4" s="1"/>
  <c r="V46" i="4"/>
  <c r="T57" i="4"/>
  <c r="T50" i="4"/>
  <c r="T55" i="4" l="1"/>
  <c r="T56" i="4"/>
  <c r="V23" i="4"/>
  <c r="V22" i="4"/>
  <c r="V77" i="8"/>
  <c r="V75" i="8"/>
  <c r="V69" i="8"/>
  <c r="V71" i="8"/>
  <c r="V72" i="8"/>
  <c r="V70" i="8"/>
  <c r="V95" i="8"/>
  <c r="V78" i="8"/>
  <c r="V76" i="8"/>
  <c r="V81" i="8"/>
  <c r="V13" i="4"/>
  <c r="V21" i="8"/>
  <c r="T52" i="4"/>
  <c r="T54" i="4"/>
  <c r="V28" i="8"/>
  <c r="V92" i="8" s="1"/>
  <c r="V29" i="8"/>
  <c r="V93" i="8" s="1"/>
  <c r="V51" i="8"/>
  <c r="V33" i="8"/>
  <c r="V98" i="8" s="1"/>
  <c r="V32" i="8"/>
  <c r="V97" i="8" s="1"/>
  <c r="V19" i="8"/>
  <c r="V86" i="8" s="1"/>
  <c r="U27" i="8"/>
  <c r="V26" i="8" s="1"/>
  <c r="V43" i="8"/>
  <c r="V108" i="8" s="1"/>
  <c r="V15" i="8"/>
  <c r="V82" i="8" s="1"/>
  <c r="T53" i="4"/>
  <c r="V44" i="8"/>
  <c r="V109" i="8" s="1"/>
  <c r="V32" i="4"/>
  <c r="V27" i="4"/>
  <c r="V20" i="4"/>
  <c r="V19" i="4"/>
  <c r="V31" i="4"/>
  <c r="V30" i="4"/>
  <c r="V12" i="4"/>
  <c r="V112" i="8" l="1"/>
  <c r="V110" i="8"/>
  <c r="V90" i="8"/>
  <c r="V113" i="8"/>
  <c r="V111" i="8"/>
  <c r="V27" i="8"/>
  <c r="V54" i="8"/>
  <c r="V124" i="8" s="1"/>
  <c r="V34" i="8"/>
  <c r="V40" i="8"/>
  <c r="V60" i="8"/>
  <c r="V130" i="8" s="1"/>
  <c r="V55" i="8"/>
  <c r="V125" i="8" s="1"/>
  <c r="V41" i="8"/>
  <c r="V35" i="8"/>
  <c r="V61" i="8"/>
  <c r="V131" i="8" s="1"/>
  <c r="V22" i="8"/>
  <c r="V50" i="8" s="1"/>
  <c r="V443" i="8"/>
  <c r="V431" i="8"/>
  <c r="V419" i="8"/>
  <c r="V407" i="8"/>
  <c r="V395" i="8"/>
  <c r="V383" i="8"/>
  <c r="V442" i="8"/>
  <c r="V430" i="8"/>
  <c r="V418" i="8"/>
  <c r="V406" i="8"/>
  <c r="V394" i="8"/>
  <c r="V382" i="8"/>
  <c r="V441" i="8"/>
  <c r="V429" i="8"/>
  <c r="V417" i="8"/>
  <c r="V405" i="8"/>
  <c r="V393" i="8"/>
  <c r="V381" i="8"/>
  <c r="V440" i="8"/>
  <c r="V428" i="8"/>
  <c r="V416" i="8"/>
  <c r="V404" i="8"/>
  <c r="V392" i="8"/>
  <c r="V380" i="8"/>
  <c r="V439" i="8"/>
  <c r="V427" i="8"/>
  <c r="V415" i="8"/>
  <c r="V403" i="8"/>
  <c r="V391" i="8"/>
  <c r="V379" i="8"/>
  <c r="V450" i="8"/>
  <c r="V438" i="8"/>
  <c r="V426" i="8"/>
  <c r="V414" i="8"/>
  <c r="V402" i="8"/>
  <c r="V390" i="8"/>
  <c r="V378" i="8"/>
  <c r="V449" i="8"/>
  <c r="V437" i="8"/>
  <c r="V425" i="8"/>
  <c r="V413" i="8"/>
  <c r="V401" i="8"/>
  <c r="V389" i="8"/>
  <c r="V448" i="8"/>
  <c r="V436" i="8"/>
  <c r="V424" i="8"/>
  <c r="V412" i="8"/>
  <c r="V400" i="8"/>
  <c r="V388" i="8"/>
  <c r="V447" i="8"/>
  <c r="V435" i="8"/>
  <c r="V423" i="8"/>
  <c r="V411" i="8"/>
  <c r="V399" i="8"/>
  <c r="V387" i="8"/>
  <c r="V446" i="8"/>
  <c r="V434" i="8"/>
  <c r="V422" i="8"/>
  <c r="V410" i="8"/>
  <c r="V398" i="8"/>
  <c r="V386" i="8"/>
  <c r="V444" i="8"/>
  <c r="V432" i="8"/>
  <c r="V420" i="8"/>
  <c r="V408" i="8"/>
  <c r="V396" i="8"/>
  <c r="V384" i="8"/>
  <c r="V445" i="8"/>
  <c r="V433" i="8"/>
  <c r="V421" i="8"/>
  <c r="V409" i="8"/>
  <c r="V397" i="8"/>
  <c r="V385" i="8"/>
  <c r="V372" i="8"/>
  <c r="V360" i="8"/>
  <c r="V348" i="8"/>
  <c r="V336" i="8"/>
  <c r="V324" i="8"/>
  <c r="V312" i="8"/>
  <c r="V371" i="8"/>
  <c r="V359" i="8"/>
  <c r="V347" i="8"/>
  <c r="V335" i="8"/>
  <c r="V323" i="8"/>
  <c r="V311" i="8"/>
  <c r="V370" i="8"/>
  <c r="V358" i="8"/>
  <c r="V346" i="8"/>
  <c r="V334" i="8"/>
  <c r="V322" i="8"/>
  <c r="V310" i="8"/>
  <c r="V376" i="8"/>
  <c r="V361" i="8"/>
  <c r="V343" i="8"/>
  <c r="V328" i="8"/>
  <c r="V313" i="8"/>
  <c r="V375" i="8"/>
  <c r="V357" i="8"/>
  <c r="V342" i="8"/>
  <c r="V374" i="8"/>
  <c r="V356" i="8"/>
  <c r="V341" i="8"/>
  <c r="V326" i="8"/>
  <c r="V308" i="8"/>
  <c r="V373" i="8"/>
  <c r="V355" i="8"/>
  <c r="V340" i="8"/>
  <c r="V325" i="8"/>
  <c r="V307" i="8"/>
  <c r="V369" i="8"/>
  <c r="V354" i="8"/>
  <c r="V339" i="8"/>
  <c r="V321" i="8"/>
  <c r="V306" i="8"/>
  <c r="V368" i="8"/>
  <c r="V353" i="8"/>
  <c r="V338" i="8"/>
  <c r="V320" i="8"/>
  <c r="V305" i="8"/>
  <c r="V367" i="8"/>
  <c r="V352" i="8"/>
  <c r="V337" i="8"/>
  <c r="V319" i="8"/>
  <c r="V304" i="8"/>
  <c r="V135" i="8" s="1"/>
  <c r="V366" i="8"/>
  <c r="V351" i="8"/>
  <c r="V333" i="8"/>
  <c r="V318" i="8"/>
  <c r="V364" i="8"/>
  <c r="V349" i="8"/>
  <c r="V331" i="8"/>
  <c r="V316" i="8"/>
  <c r="V363" i="8"/>
  <c r="V309" i="8"/>
  <c r="V362" i="8"/>
  <c r="V345" i="8"/>
  <c r="V350" i="8"/>
  <c r="V344" i="8"/>
  <c r="V332" i="8"/>
  <c r="V330" i="8"/>
  <c r="V317" i="8"/>
  <c r="V329" i="8"/>
  <c r="V327" i="8"/>
  <c r="V315" i="8"/>
  <c r="V365" i="8"/>
  <c r="V314" i="8"/>
  <c r="V29" i="4"/>
  <c r="V28" i="4"/>
  <c r="V24" i="4"/>
  <c r="V107" i="8" l="1"/>
  <c r="V56" i="4"/>
  <c r="V55" i="4"/>
  <c r="V100" i="8"/>
  <c r="V101" i="8"/>
  <c r="V91" i="8"/>
  <c r="V106" i="8"/>
  <c r="V49" i="8"/>
  <c r="V121" i="8" s="1"/>
  <c r="V50" i="4"/>
  <c r="V45" i="8"/>
  <c r="V57" i="4" s="1"/>
  <c r="V51" i="4"/>
  <c r="V48" i="8" l="1"/>
  <c r="V120" i="8" s="1"/>
  <c r="V47" i="8"/>
  <c r="V115" i="8" l="1"/>
  <c r="V119" i="8" s="1"/>
  <c r="V138" i="8"/>
  <c r="V46" i="8"/>
  <c r="V117" i="8" l="1"/>
  <c r="V114" i="8"/>
  <c r="V118" i="8" s="1"/>
  <c r="V137" i="8"/>
  <c r="V53" i="4"/>
  <c r="V54" i="4"/>
  <c r="V52" i="4"/>
  <c r="V116" i="8" l="1"/>
  <c r="H19" i="4"/>
  <c r="H20" i="4" s="1"/>
  <c r="H6" i="8" l="1"/>
  <c r="H43" i="8" l="1"/>
  <c r="H8" i="8"/>
  <c r="H17" i="8" s="1"/>
  <c r="I6" i="8"/>
  <c r="H13" i="8"/>
  <c r="H10" i="8" l="1"/>
  <c r="I8" i="8"/>
  <c r="H22" i="8"/>
  <c r="I13" i="8"/>
  <c r="H49" i="8" l="1"/>
  <c r="H50" i="8"/>
  <c r="H24" i="8"/>
  <c r="H28" i="8"/>
  <c r="I16" i="8"/>
  <c r="I14" i="8" s="1"/>
  <c r="H18" i="8"/>
  <c r="I10" i="8"/>
  <c r="I17" i="8"/>
  <c r="H30" i="8"/>
  <c r="H30" i="4"/>
  <c r="H31" i="4"/>
  <c r="I18" i="8" l="1"/>
  <c r="I30" i="8"/>
  <c r="H23" i="4"/>
  <c r="H19" i="8"/>
  <c r="H32" i="4"/>
  <c r="I28" i="8"/>
  <c r="H29" i="8"/>
  <c r="I24" i="8"/>
  <c r="H26" i="8" a="1"/>
  <c r="H26" i="8" s="1"/>
  <c r="H45" i="8"/>
  <c r="H32" i="8"/>
  <c r="H48" i="8"/>
  <c r="H47" i="8"/>
  <c r="I26" i="8" l="1"/>
  <c r="H27" i="8"/>
  <c r="H46" i="8"/>
  <c r="H40" i="8"/>
  <c r="H34" i="8"/>
  <c r="H54" i="8"/>
  <c r="H60" i="8"/>
  <c r="H28" i="4"/>
  <c r="H29" i="4"/>
  <c r="I32" i="8"/>
  <c r="I29" i="8"/>
  <c r="I20" i="8"/>
  <c r="H57" i="4" l="1"/>
  <c r="J18" i="8"/>
  <c r="H56" i="4"/>
  <c r="H55" i="4"/>
  <c r="J24" i="8"/>
  <c r="J30" i="8"/>
  <c r="J31" i="8"/>
  <c r="J14" i="8"/>
  <c r="J19" i="8"/>
  <c r="J23" i="8"/>
  <c r="H50" i="4"/>
  <c r="J28" i="8"/>
  <c r="H52" i="4"/>
  <c r="H54" i="4"/>
  <c r="H53" i="4"/>
  <c r="I27" i="8"/>
  <c r="J26" i="8" s="1"/>
  <c r="J32" i="8"/>
  <c r="J33" i="8"/>
  <c r="J15" i="4"/>
  <c r="J46" i="4"/>
  <c r="J14" i="4"/>
  <c r="J33" i="4" s="1"/>
  <c r="J6" i="8"/>
  <c r="J7" i="8"/>
  <c r="J9" i="8"/>
  <c r="J8" i="8"/>
  <c r="J13" i="8"/>
  <c r="J12" i="8"/>
  <c r="J10" i="8"/>
  <c r="J17" i="8"/>
  <c r="J16" i="8"/>
  <c r="J11" i="8"/>
  <c r="J29" i="8"/>
  <c r="J15" i="8" l="1"/>
  <c r="J24" i="4" s="1"/>
  <c r="J22" i="4"/>
  <c r="J23" i="4"/>
  <c r="J27" i="8"/>
  <c r="J54" i="8"/>
  <c r="J40" i="8"/>
  <c r="J34" i="8"/>
  <c r="J60" i="8"/>
  <c r="J21" i="8"/>
  <c r="J32" i="4"/>
  <c r="J12" i="4"/>
  <c r="J30" i="4"/>
  <c r="J44" i="8"/>
  <c r="J21" i="4"/>
  <c r="J51" i="8"/>
  <c r="J13" i="4"/>
  <c r="J41" i="8"/>
  <c r="J61" i="8"/>
  <c r="J55" i="8"/>
  <c r="J35" i="8"/>
  <c r="J27" i="4"/>
  <c r="J20" i="4"/>
  <c r="J43" i="8"/>
  <c r="J19" i="4"/>
  <c r="J31" i="4"/>
  <c r="J29" i="4"/>
  <c r="J28" i="4"/>
  <c r="J56" i="4" l="1"/>
  <c r="J55" i="4"/>
  <c r="J45" i="8"/>
  <c r="J57" i="4" s="1"/>
  <c r="J51" i="4"/>
  <c r="J22" i="8"/>
  <c r="J50" i="8" s="1"/>
  <c r="J50" i="4"/>
  <c r="J49" i="8" l="1"/>
  <c r="J48" i="8" l="1"/>
  <c r="J47" i="8"/>
  <c r="J46" i="8" l="1"/>
  <c r="J53" i="4" s="1"/>
  <c r="J52" i="4"/>
  <c r="J54" i="4"/>
  <c r="P19" i="4" l="1"/>
  <c r="P20" i="4" l="1"/>
  <c r="P6" i="8"/>
  <c r="P8" i="8" l="1"/>
  <c r="P13" i="8"/>
  <c r="Q6" i="8"/>
  <c r="P43" i="8"/>
  <c r="P22" i="8" l="1"/>
  <c r="Q13" i="8"/>
  <c r="Q8" i="8"/>
  <c r="P17" i="8"/>
  <c r="P10" i="8"/>
  <c r="P30" i="4" l="1"/>
  <c r="P30" i="8"/>
  <c r="P31" i="4"/>
  <c r="Q16" i="8"/>
  <c r="Q14" i="8" s="1"/>
  <c r="P18" i="8"/>
  <c r="P24" i="8"/>
  <c r="P50" i="8"/>
  <c r="P49" i="8"/>
  <c r="P28" i="8"/>
  <c r="Q17" i="8"/>
  <c r="Q10" i="8"/>
  <c r="P29" i="8" l="1"/>
  <c r="Q28" i="8"/>
  <c r="P26" i="8" a="1"/>
  <c r="P26" i="8" s="1"/>
  <c r="Q24" i="8"/>
  <c r="P48" i="8"/>
  <c r="P47" i="8"/>
  <c r="P19" i="8"/>
  <c r="P23" i="4"/>
  <c r="P32" i="4"/>
  <c r="P32" i="8"/>
  <c r="P45" i="8"/>
  <c r="Q30" i="8"/>
  <c r="Q18" i="8"/>
  <c r="P138" i="8" l="1"/>
  <c r="P29" i="4"/>
  <c r="P28" i="4"/>
  <c r="Q32" i="8"/>
  <c r="R30" i="8"/>
  <c r="R31" i="8"/>
  <c r="R23" i="8"/>
  <c r="R24" i="8"/>
  <c r="R14" i="8"/>
  <c r="R18" i="8"/>
  <c r="P46" i="8"/>
  <c r="P137" i="8" s="1"/>
  <c r="Q20" i="8"/>
  <c r="P40" i="8"/>
  <c r="P60" i="8"/>
  <c r="P54" i="8"/>
  <c r="P34" i="8"/>
  <c r="Q26" i="8"/>
  <c r="P27" i="8"/>
  <c r="Q29" i="8"/>
  <c r="P55" i="4" l="1"/>
  <c r="P56" i="4"/>
  <c r="R15" i="8"/>
  <c r="P57" i="4"/>
  <c r="P50" i="4"/>
  <c r="R46" i="4"/>
  <c r="R14" i="4"/>
  <c r="R33" i="4" s="1"/>
  <c r="R15" i="4"/>
  <c r="R6" i="8"/>
  <c r="R7" i="8"/>
  <c r="R22" i="4" s="1"/>
  <c r="R8" i="8"/>
  <c r="R9" i="8"/>
  <c r="R12" i="8"/>
  <c r="R13" i="8"/>
  <c r="R11" i="8"/>
  <c r="R17" i="8"/>
  <c r="R10" i="8"/>
  <c r="R16" i="8"/>
  <c r="Q27" i="8"/>
  <c r="R27" i="8" s="1"/>
  <c r="R27" i="4"/>
  <c r="R33" i="8"/>
  <c r="R32" i="8"/>
  <c r="R19" i="8"/>
  <c r="R29" i="8"/>
  <c r="R28" i="8"/>
  <c r="P52" i="4"/>
  <c r="P53" i="4"/>
  <c r="P54" i="4"/>
  <c r="R26" i="8" l="1"/>
  <c r="R23" i="4"/>
  <c r="R60" i="8"/>
  <c r="R34" i="8"/>
  <c r="R54" i="8"/>
  <c r="R40" i="8"/>
  <c r="R32" i="4"/>
  <c r="R29" i="4"/>
  <c r="R28" i="4"/>
  <c r="R41" i="8"/>
  <c r="R56" i="4" s="1"/>
  <c r="R55" i="8"/>
  <c r="R35" i="8"/>
  <c r="R61" i="8"/>
  <c r="R21" i="8"/>
  <c r="R22" i="8" s="1"/>
  <c r="R13" i="4"/>
  <c r="R51" i="8"/>
  <c r="R50" i="8" s="1"/>
  <c r="R24" i="4"/>
  <c r="R21" i="4"/>
  <c r="R44" i="8"/>
  <c r="R43" i="8"/>
  <c r="R20" i="4"/>
  <c r="R19" i="4"/>
  <c r="R31" i="4"/>
  <c r="R12" i="4"/>
  <c r="R30" i="4"/>
  <c r="R55" i="4" l="1"/>
  <c r="R49" i="8"/>
  <c r="R51" i="4"/>
  <c r="R45" i="8"/>
  <c r="R57" i="4" s="1"/>
  <c r="R50" i="4"/>
  <c r="R47" i="8" l="1"/>
  <c r="R48" i="8"/>
  <c r="R138" i="8" l="1"/>
  <c r="R46" i="8"/>
  <c r="R137" i="8" s="1"/>
  <c r="R53" i="4" l="1"/>
  <c r="R54" i="4"/>
  <c r="R52" i="4"/>
  <c r="L19" i="4"/>
  <c r="L20" i="4" s="1"/>
  <c r="L137" i="8"/>
  <c r="N137" i="8"/>
  <c r="L138" i="8"/>
  <c r="N138" i="8"/>
  <c r="L6" i="8" l="1"/>
  <c r="L13" i="8" s="1"/>
  <c r="H143" i="8"/>
  <c r="H142" i="8"/>
  <c r="H141" i="8"/>
  <c r="H140" i="8"/>
  <c r="J145" i="8" l="1"/>
  <c r="P145" i="8"/>
  <c r="J146" i="8"/>
  <c r="J92" i="8" s="1"/>
  <c r="P146" i="8"/>
  <c r="J89" i="8"/>
  <c r="J149" i="8"/>
  <c r="J65" i="8"/>
  <c r="J67" i="8"/>
  <c r="J85" i="8"/>
  <c r="J93" i="8"/>
  <c r="J86" i="8"/>
  <c r="J88" i="8"/>
  <c r="J84" i="8"/>
  <c r="J75" i="8"/>
  <c r="J80" i="8"/>
  <c r="J90" i="8"/>
  <c r="J73" i="8"/>
  <c r="J69" i="8"/>
  <c r="J120" i="8"/>
  <c r="J150" i="8"/>
  <c r="J66" i="8"/>
  <c r="J68" i="8"/>
  <c r="J81" i="8"/>
  <c r="J76" i="8"/>
  <c r="L43" i="8"/>
  <c r="L8" i="8"/>
  <c r="M6" i="8"/>
  <c r="L145" i="8"/>
  <c r="L69" i="8" s="1"/>
  <c r="H145" i="8"/>
  <c r="T146" i="8"/>
  <c r="T79" i="8" s="1"/>
  <c r="H146" i="8"/>
  <c r="Z146" i="8"/>
  <c r="Z83" i="8" s="1"/>
  <c r="R146" i="8"/>
  <c r="R92" i="8" s="1"/>
  <c r="M13" i="8"/>
  <c r="L22" i="8"/>
  <c r="L146" i="8"/>
  <c r="L74" i="8" s="1"/>
  <c r="R145" i="8"/>
  <c r="T145" i="8"/>
  <c r="Z145" i="8"/>
  <c r="J121" i="8" l="1"/>
  <c r="J91" i="8"/>
  <c r="J87" i="8"/>
  <c r="J82" i="8"/>
  <c r="J70" i="8"/>
  <c r="J83" i="8"/>
  <c r="J74" i="8"/>
  <c r="J79" i="8"/>
  <c r="P149" i="8"/>
  <c r="P67" i="8"/>
  <c r="P65" i="8"/>
  <c r="P89" i="8"/>
  <c r="P69" i="8"/>
  <c r="P73" i="8"/>
  <c r="P80" i="8"/>
  <c r="P75" i="8"/>
  <c r="P84" i="8"/>
  <c r="P88" i="8"/>
  <c r="P85" i="8"/>
  <c r="P93" i="8"/>
  <c r="P120" i="8"/>
  <c r="P86" i="8"/>
  <c r="P90" i="8"/>
  <c r="P82" i="8"/>
  <c r="P81" i="8"/>
  <c r="P66" i="8"/>
  <c r="P70" i="8"/>
  <c r="P74" i="8"/>
  <c r="P150" i="8"/>
  <c r="P87" i="8"/>
  <c r="P79" i="8"/>
  <c r="P68" i="8"/>
  <c r="P83" i="8"/>
  <c r="P76" i="8"/>
  <c r="P92" i="8"/>
  <c r="P121" i="8"/>
  <c r="P91" i="8"/>
  <c r="J403" i="8"/>
  <c r="J419" i="8"/>
  <c r="J385" i="8"/>
  <c r="J408" i="8"/>
  <c r="J413" i="8"/>
  <c r="J436" i="8"/>
  <c r="J443" i="8"/>
  <c r="J416" i="8"/>
  <c r="J439" i="8"/>
  <c r="J402" i="8"/>
  <c r="J382" i="8"/>
  <c r="J424" i="8"/>
  <c r="J397" i="8"/>
  <c r="J446" i="8"/>
  <c r="J414" i="8"/>
  <c r="J428" i="8"/>
  <c r="J391" i="8"/>
  <c r="J450" i="8"/>
  <c r="J395" i="8"/>
  <c r="J381" i="8"/>
  <c r="J409" i="8"/>
  <c r="J405" i="8"/>
  <c r="J407" i="8"/>
  <c r="J444" i="8"/>
  <c r="J400" i="8"/>
  <c r="J412" i="8"/>
  <c r="J378" i="8"/>
  <c r="J418" i="8"/>
  <c r="J390" i="8"/>
  <c r="J435" i="8"/>
  <c r="J393" i="8"/>
  <c r="J440" i="8"/>
  <c r="J420" i="8"/>
  <c r="J384" i="8"/>
  <c r="J394" i="8"/>
  <c r="J431" i="8"/>
  <c r="J380" i="8"/>
  <c r="J434" i="8"/>
  <c r="J379" i="8"/>
  <c r="J389" i="8"/>
  <c r="J417" i="8"/>
  <c r="J421" i="8"/>
  <c r="J445" i="8"/>
  <c r="J388" i="8"/>
  <c r="J396" i="8"/>
  <c r="J398" i="8"/>
  <c r="J401" i="8"/>
  <c r="J415" i="8"/>
  <c r="J423" i="8"/>
  <c r="J437" i="8"/>
  <c r="J438" i="8"/>
  <c r="J410" i="8"/>
  <c r="J448" i="8"/>
  <c r="J386" i="8"/>
  <c r="J387" i="8"/>
  <c r="J392" i="8"/>
  <c r="J441" i="8"/>
  <c r="J447" i="8"/>
  <c r="J406" i="8"/>
  <c r="J429" i="8"/>
  <c r="J442" i="8"/>
  <c r="J427" i="8"/>
  <c r="J430" i="8"/>
  <c r="J449" i="8"/>
  <c r="J425" i="8"/>
  <c r="J426" i="8"/>
  <c r="J383" i="8"/>
  <c r="J432" i="8"/>
  <c r="J433" i="8"/>
  <c r="J399" i="8"/>
  <c r="J404" i="8"/>
  <c r="J411" i="8"/>
  <c r="J422" i="8"/>
  <c r="J351" i="8"/>
  <c r="J344" i="8"/>
  <c r="J338" i="8"/>
  <c r="J335" i="8"/>
  <c r="J345" i="8"/>
  <c r="J330" i="8"/>
  <c r="J376" i="8"/>
  <c r="J341" i="8"/>
  <c r="J374" i="8"/>
  <c r="J360" i="8"/>
  <c r="J373" i="8"/>
  <c r="J320" i="8"/>
  <c r="J346" i="8"/>
  <c r="J332" i="8"/>
  <c r="J349" i="8"/>
  <c r="J317" i="8"/>
  <c r="J318" i="8"/>
  <c r="J333" i="8"/>
  <c r="J369" i="8"/>
  <c r="J324" i="8"/>
  <c r="J367" i="8"/>
  <c r="J312" i="8"/>
  <c r="J339" i="8"/>
  <c r="J325" i="8"/>
  <c r="J340" i="8"/>
  <c r="J328" i="8"/>
  <c r="J343" i="8"/>
  <c r="J350" i="8"/>
  <c r="J347" i="8"/>
  <c r="J362" i="8"/>
  <c r="J356" i="8"/>
  <c r="J359" i="8"/>
  <c r="J371" i="8"/>
  <c r="J329" i="8"/>
  <c r="J358" i="8"/>
  <c r="J323" i="8"/>
  <c r="J357" i="8"/>
  <c r="J336" i="8"/>
  <c r="J365" i="8"/>
  <c r="J305" i="8"/>
  <c r="J334" i="8"/>
  <c r="J337" i="8"/>
  <c r="J366" i="8"/>
  <c r="J326" i="8"/>
  <c r="J327" i="8"/>
  <c r="J353" i="8"/>
  <c r="J307" i="8"/>
  <c r="J313" i="8"/>
  <c r="J368" i="8"/>
  <c r="J304" i="8"/>
  <c r="J135" i="8" s="1"/>
  <c r="J311" i="8"/>
  <c r="J322" i="8"/>
  <c r="J372" i="8"/>
  <c r="J352" i="8"/>
  <c r="J308" i="8"/>
  <c r="J319" i="8"/>
  <c r="J309" i="8"/>
  <c r="J342" i="8"/>
  <c r="J361" i="8"/>
  <c r="J310" i="8"/>
  <c r="J331" i="8"/>
  <c r="J306" i="8"/>
  <c r="J354" i="8"/>
  <c r="J370" i="8"/>
  <c r="J375" i="8"/>
  <c r="J316" i="8"/>
  <c r="J321" i="8"/>
  <c r="J314" i="8"/>
  <c r="J363" i="8"/>
  <c r="J364" i="8"/>
  <c r="J348" i="8"/>
  <c r="J315" i="8"/>
  <c r="J355" i="8"/>
  <c r="J71" i="8"/>
  <c r="J97" i="8"/>
  <c r="J77" i="8"/>
  <c r="J94" i="8"/>
  <c r="J108" i="8"/>
  <c r="J130" i="8"/>
  <c r="J124" i="8"/>
  <c r="J100" i="8"/>
  <c r="J106" i="8"/>
  <c r="J114" i="8"/>
  <c r="J258" i="8"/>
  <c r="J256" i="8"/>
  <c r="J299" i="8"/>
  <c r="J241" i="8"/>
  <c r="J298" i="8"/>
  <c r="J287" i="8"/>
  <c r="J281" i="8"/>
  <c r="J295" i="8"/>
  <c r="J246" i="8"/>
  <c r="J244" i="8"/>
  <c r="J290" i="8"/>
  <c r="J229" i="8"/>
  <c r="J286" i="8"/>
  <c r="J285" i="8"/>
  <c r="J275" i="8"/>
  <c r="J283" i="8"/>
  <c r="J234" i="8"/>
  <c r="J232" i="8"/>
  <c r="J278" i="8"/>
  <c r="J264" i="8"/>
  <c r="J274" i="8"/>
  <c r="J254" i="8"/>
  <c r="J250" i="8"/>
  <c r="J271" i="8"/>
  <c r="J293" i="8"/>
  <c r="J240" i="8"/>
  <c r="J266" i="8"/>
  <c r="J263" i="8"/>
  <c r="J262" i="8"/>
  <c r="J249" i="8"/>
  <c r="J259" i="8"/>
  <c r="J247" i="8"/>
  <c r="J269" i="8"/>
  <c r="J297" i="8"/>
  <c r="J242" i="8"/>
  <c r="J300" i="8"/>
  <c r="J238" i="8"/>
  <c r="J261" i="8"/>
  <c r="J235" i="8"/>
  <c r="J257" i="8"/>
  <c r="J291" i="8"/>
  <c r="J230" i="8"/>
  <c r="J288" i="8"/>
  <c r="J296" i="8"/>
  <c r="J255" i="8"/>
  <c r="J260" i="8"/>
  <c r="J239" i="8"/>
  <c r="J245" i="8"/>
  <c r="J279" i="8"/>
  <c r="J301" i="8"/>
  <c r="J276" i="8"/>
  <c r="J284" i="8"/>
  <c r="J277" i="8"/>
  <c r="J273" i="8"/>
  <c r="J233" i="8"/>
  <c r="J267" i="8"/>
  <c r="J289" i="8"/>
  <c r="J252" i="8"/>
  <c r="J272" i="8"/>
  <c r="J292" i="8"/>
  <c r="J294" i="8"/>
  <c r="J282" i="8"/>
  <c r="J280" i="8"/>
  <c r="J243" i="8"/>
  <c r="J265" i="8"/>
  <c r="J251" i="8"/>
  <c r="J248" i="8"/>
  <c r="J270" i="8"/>
  <c r="J268" i="8"/>
  <c r="J231" i="8"/>
  <c r="J253" i="8"/>
  <c r="J237" i="8"/>
  <c r="J236" i="8"/>
  <c r="J78" i="8"/>
  <c r="J95" i="8"/>
  <c r="J72" i="8"/>
  <c r="J98" i="8"/>
  <c r="J107" i="8"/>
  <c r="J109" i="8"/>
  <c r="J125" i="8"/>
  <c r="J101" i="8"/>
  <c r="J131" i="8"/>
  <c r="J115" i="8"/>
  <c r="J182" i="8"/>
  <c r="J169" i="8"/>
  <c r="J202" i="8"/>
  <c r="J189" i="8"/>
  <c r="J176" i="8"/>
  <c r="J172" i="8"/>
  <c r="J170" i="8"/>
  <c r="J157" i="8"/>
  <c r="J190" i="8"/>
  <c r="J177" i="8"/>
  <c r="J164" i="8"/>
  <c r="J160" i="8"/>
  <c r="J158" i="8"/>
  <c r="J216" i="8"/>
  <c r="J178" i="8"/>
  <c r="J165" i="8"/>
  <c r="J211" i="8"/>
  <c r="J191" i="8"/>
  <c r="J134" i="8" s="1"/>
  <c r="J219" i="8"/>
  <c r="J204" i="8"/>
  <c r="J180" i="8"/>
  <c r="J166" i="8"/>
  <c r="J223" i="8"/>
  <c r="J175" i="8"/>
  <c r="J155" i="8"/>
  <c r="J207" i="8"/>
  <c r="J168" i="8"/>
  <c r="J156" i="8"/>
  <c r="J199" i="8"/>
  <c r="J187" i="8"/>
  <c r="J198" i="8"/>
  <c r="J195" i="8"/>
  <c r="J215" i="8"/>
  <c r="J227" i="8"/>
  <c r="J163" i="8"/>
  <c r="J222" i="8"/>
  <c r="J209" i="8"/>
  <c r="J183" i="8"/>
  <c r="J179" i="8"/>
  <c r="J167" i="8"/>
  <c r="J210" i="8"/>
  <c r="J186" i="8"/>
  <c r="J174" i="8"/>
  <c r="J171" i="8"/>
  <c r="J197" i="8"/>
  <c r="J221" i="8"/>
  <c r="J162" i="8"/>
  <c r="J173" i="8"/>
  <c r="J185" i="8"/>
  <c r="J159" i="8"/>
  <c r="J217" i="8"/>
  <c r="J192" i="8"/>
  <c r="J161" i="8"/>
  <c r="J224" i="8"/>
  <c r="J220" i="8"/>
  <c r="J218" i="8"/>
  <c r="J205" i="8"/>
  <c r="J203" i="8"/>
  <c r="J225" i="8"/>
  <c r="J212" i="8"/>
  <c r="J208" i="8"/>
  <c r="J206" i="8"/>
  <c r="J193" i="8"/>
  <c r="J226" i="8"/>
  <c r="J213" i="8"/>
  <c r="J200" i="8"/>
  <c r="J196" i="8"/>
  <c r="J194" i="8"/>
  <c r="J181" i="8"/>
  <c r="J214" i="8"/>
  <c r="J201" i="8"/>
  <c r="J188" i="8"/>
  <c r="J184" i="8"/>
  <c r="T76" i="8"/>
  <c r="T74" i="8"/>
  <c r="T87" i="8"/>
  <c r="L73" i="8"/>
  <c r="L65" i="8"/>
  <c r="L160" i="8" s="1"/>
  <c r="L80" i="8"/>
  <c r="L89" i="8"/>
  <c r="T92" i="8"/>
  <c r="Z87" i="8"/>
  <c r="T70" i="8"/>
  <c r="Z121" i="8"/>
  <c r="T82" i="8"/>
  <c r="Z66" i="8"/>
  <c r="Z258" i="8" s="1"/>
  <c r="Z79" i="8"/>
  <c r="T91" i="8"/>
  <c r="Z74" i="8"/>
  <c r="L67" i="8"/>
  <c r="L149" i="8"/>
  <c r="T68" i="8"/>
  <c r="T121" i="8"/>
  <c r="L17" i="8"/>
  <c r="L10" i="8"/>
  <c r="M8" i="8"/>
  <c r="T150" i="8"/>
  <c r="T125" i="8" s="1"/>
  <c r="Z70" i="8"/>
  <c r="Z82" i="8"/>
  <c r="R76" i="8"/>
  <c r="Z150" i="8"/>
  <c r="Z95" i="8" s="1"/>
  <c r="H70" i="8"/>
  <c r="H76" i="8"/>
  <c r="H87" i="8"/>
  <c r="H79" i="8"/>
  <c r="H82" i="8"/>
  <c r="H66" i="8"/>
  <c r="H150" i="8"/>
  <c r="H68" i="8"/>
  <c r="H83" i="8"/>
  <c r="H81" i="8"/>
  <c r="H74" i="8"/>
  <c r="H121" i="8"/>
  <c r="H92" i="8"/>
  <c r="H91" i="8"/>
  <c r="Z76" i="8"/>
  <c r="T66" i="8"/>
  <c r="T294" i="8" s="1"/>
  <c r="H65" i="8"/>
  <c r="H89" i="8"/>
  <c r="H149" i="8"/>
  <c r="H67" i="8"/>
  <c r="H69" i="8"/>
  <c r="H80" i="8"/>
  <c r="H73" i="8"/>
  <c r="H75" i="8"/>
  <c r="H84" i="8"/>
  <c r="H88" i="8"/>
  <c r="H85" i="8"/>
  <c r="H120" i="8"/>
  <c r="H90" i="8"/>
  <c r="H86" i="8"/>
  <c r="H93" i="8"/>
  <c r="Z92" i="8"/>
  <c r="Z68" i="8"/>
  <c r="Z91" i="8"/>
  <c r="Z81" i="8"/>
  <c r="Z384" i="8" s="1"/>
  <c r="T83" i="8"/>
  <c r="T81" i="8"/>
  <c r="T398" i="8" s="1"/>
  <c r="R150" i="8"/>
  <c r="R109" i="8" s="1"/>
  <c r="R87" i="8"/>
  <c r="R66" i="8"/>
  <c r="R296" i="8" s="1"/>
  <c r="R70" i="8"/>
  <c r="R91" i="8"/>
  <c r="R83" i="8"/>
  <c r="R121" i="8"/>
  <c r="R82" i="8"/>
  <c r="R81" i="8"/>
  <c r="R433" i="8" s="1"/>
  <c r="R68" i="8"/>
  <c r="L79" i="8"/>
  <c r="L82" i="8"/>
  <c r="L83" i="8"/>
  <c r="L150" i="8"/>
  <c r="L109" i="8" s="1"/>
  <c r="L68" i="8"/>
  <c r="L70" i="8"/>
  <c r="L66" i="8"/>
  <c r="L244" i="8" s="1"/>
  <c r="L87" i="8"/>
  <c r="R74" i="8"/>
  <c r="L76" i="8"/>
  <c r="R79" i="8"/>
  <c r="L81" i="8"/>
  <c r="L407" i="8" s="1"/>
  <c r="L49" i="8"/>
  <c r="L50" i="8"/>
  <c r="L24" i="8"/>
  <c r="L28" i="8"/>
  <c r="R149" i="8"/>
  <c r="R89" i="8"/>
  <c r="R90" i="8"/>
  <c r="R84" i="8"/>
  <c r="R85" i="8"/>
  <c r="R73" i="8"/>
  <c r="R88" i="8"/>
  <c r="R69" i="8"/>
  <c r="R67" i="8"/>
  <c r="R86" i="8"/>
  <c r="R80" i="8"/>
  <c r="R120" i="8"/>
  <c r="R93" i="8"/>
  <c r="R75" i="8"/>
  <c r="R65" i="8"/>
  <c r="Z249" i="8"/>
  <c r="Z241" i="8"/>
  <c r="Z299" i="8"/>
  <c r="Z250" i="8"/>
  <c r="Z301" i="8"/>
  <c r="Z281" i="8"/>
  <c r="Z286" i="8"/>
  <c r="Z270" i="8"/>
  <c r="Z300" i="8"/>
  <c r="Z89" i="8"/>
  <c r="Z90" i="8"/>
  <c r="Z80" i="8"/>
  <c r="Z85" i="8"/>
  <c r="Z88" i="8"/>
  <c r="Z67" i="8"/>
  <c r="Z73" i="8"/>
  <c r="Z149" i="8"/>
  <c r="Z84" i="8"/>
  <c r="Z120" i="8"/>
  <c r="Z86" i="8"/>
  <c r="Z75" i="8"/>
  <c r="Z65" i="8"/>
  <c r="Z93" i="8"/>
  <c r="Z69" i="8"/>
  <c r="T88" i="8"/>
  <c r="T65" i="8"/>
  <c r="T93" i="8"/>
  <c r="T75" i="8"/>
  <c r="T90" i="8"/>
  <c r="T73" i="8"/>
  <c r="T69" i="8"/>
  <c r="T67" i="8"/>
  <c r="T89" i="8"/>
  <c r="T84" i="8"/>
  <c r="T80" i="8"/>
  <c r="T120" i="8"/>
  <c r="T86" i="8"/>
  <c r="T85" i="8"/>
  <c r="T149" i="8"/>
  <c r="P324" i="8" l="1"/>
  <c r="P354" i="8"/>
  <c r="P317" i="8"/>
  <c r="P376" i="8"/>
  <c r="P373" i="8"/>
  <c r="P349" i="8"/>
  <c r="P310" i="8"/>
  <c r="P322" i="8"/>
  <c r="P368" i="8"/>
  <c r="P342" i="8"/>
  <c r="P352" i="8"/>
  <c r="P318" i="8"/>
  <c r="P356" i="8"/>
  <c r="P313" i="8"/>
  <c r="P359" i="8"/>
  <c r="P327" i="8"/>
  <c r="P372" i="8"/>
  <c r="P374" i="8"/>
  <c r="P366" i="8"/>
  <c r="P375" i="8"/>
  <c r="P339" i="8"/>
  <c r="P325" i="8"/>
  <c r="P341" i="8"/>
  <c r="P371" i="8"/>
  <c r="P331" i="8"/>
  <c r="P350" i="8"/>
  <c r="P363" i="8"/>
  <c r="P333" i="8"/>
  <c r="P346" i="8"/>
  <c r="P316" i="8"/>
  <c r="P357" i="8"/>
  <c r="P304" i="8"/>
  <c r="P135" i="8" s="1"/>
  <c r="P365" i="8"/>
  <c r="P311" i="8"/>
  <c r="P328" i="8"/>
  <c r="P369" i="8"/>
  <c r="P323" i="8"/>
  <c r="P353" i="8"/>
  <c r="P345" i="8"/>
  <c r="P321" i="8"/>
  <c r="P361" i="8"/>
  <c r="P329" i="8"/>
  <c r="P326" i="8"/>
  <c r="P335" i="8"/>
  <c r="P338" i="8"/>
  <c r="P348" i="8"/>
  <c r="P315" i="8"/>
  <c r="P334" i="8"/>
  <c r="P307" i="8"/>
  <c r="P355" i="8"/>
  <c r="P319" i="8"/>
  <c r="P305" i="8"/>
  <c r="P306" i="8"/>
  <c r="P312" i="8"/>
  <c r="P360" i="8"/>
  <c r="P358" i="8"/>
  <c r="P344" i="8"/>
  <c r="P309" i="8"/>
  <c r="P308" i="8"/>
  <c r="P340" i="8"/>
  <c r="P347" i="8"/>
  <c r="P330" i="8"/>
  <c r="P351" i="8"/>
  <c r="P367" i="8"/>
  <c r="P370" i="8"/>
  <c r="P332" i="8"/>
  <c r="P314" i="8"/>
  <c r="P320" i="8"/>
  <c r="P337" i="8"/>
  <c r="P364" i="8"/>
  <c r="P362" i="8"/>
  <c r="P343" i="8"/>
  <c r="P336" i="8"/>
  <c r="P131" i="8"/>
  <c r="P125" i="8"/>
  <c r="P107" i="8"/>
  <c r="P101" i="8"/>
  <c r="P72" i="8"/>
  <c r="P109" i="8"/>
  <c r="P78" i="8"/>
  <c r="P95" i="8"/>
  <c r="P98" i="8"/>
  <c r="P115" i="8"/>
  <c r="P277" i="8"/>
  <c r="P287" i="8"/>
  <c r="P285" i="8"/>
  <c r="P283" i="8"/>
  <c r="P254" i="8"/>
  <c r="P279" i="8"/>
  <c r="P298" i="8"/>
  <c r="P231" i="8"/>
  <c r="P267" i="8"/>
  <c r="P293" i="8"/>
  <c r="P240" i="8"/>
  <c r="P265" i="8"/>
  <c r="P275" i="8"/>
  <c r="P273" i="8"/>
  <c r="P271" i="8"/>
  <c r="P242" i="8"/>
  <c r="P233" i="8"/>
  <c r="P255" i="8"/>
  <c r="P288" i="8"/>
  <c r="P282" i="8"/>
  <c r="P248" i="8"/>
  <c r="P246" i="8"/>
  <c r="P253" i="8"/>
  <c r="P263" i="8"/>
  <c r="P261" i="8"/>
  <c r="P259" i="8"/>
  <c r="P230" i="8"/>
  <c r="P269" i="8"/>
  <c r="P296" i="8"/>
  <c r="P291" i="8"/>
  <c r="P280" i="8"/>
  <c r="P241" i="8"/>
  <c r="P251" i="8"/>
  <c r="P249" i="8"/>
  <c r="P247" i="8"/>
  <c r="P292" i="8"/>
  <c r="P232" i="8"/>
  <c r="P300" i="8"/>
  <c r="P286" i="8"/>
  <c r="P236" i="8"/>
  <c r="P229" i="8"/>
  <c r="P239" i="8"/>
  <c r="P237" i="8"/>
  <c r="P235" i="8"/>
  <c r="P245" i="8"/>
  <c r="P268" i="8"/>
  <c r="P294" i="8"/>
  <c r="P284" i="8"/>
  <c r="P243" i="8"/>
  <c r="P301" i="8"/>
  <c r="P250" i="8"/>
  <c r="P276" i="8"/>
  <c r="P274" i="8"/>
  <c r="P272" i="8"/>
  <c r="P270" i="8"/>
  <c r="P244" i="8"/>
  <c r="P257" i="8"/>
  <c r="P262" i="8"/>
  <c r="P258" i="8"/>
  <c r="P256" i="8"/>
  <c r="P252" i="8"/>
  <c r="P238" i="8"/>
  <c r="P264" i="8"/>
  <c r="P260" i="8"/>
  <c r="P281" i="8"/>
  <c r="P290" i="8"/>
  <c r="P278" i="8"/>
  <c r="P289" i="8"/>
  <c r="P299" i="8"/>
  <c r="P297" i="8"/>
  <c r="P295" i="8"/>
  <c r="P266" i="8"/>
  <c r="P234" i="8"/>
  <c r="P413" i="8"/>
  <c r="P411" i="8"/>
  <c r="P409" i="8"/>
  <c r="P407" i="8"/>
  <c r="P405" i="8"/>
  <c r="P439" i="8"/>
  <c r="P422" i="8"/>
  <c r="P438" i="8"/>
  <c r="P441" i="8"/>
  <c r="P401" i="8"/>
  <c r="P399" i="8"/>
  <c r="P397" i="8"/>
  <c r="P395" i="8"/>
  <c r="P440" i="8"/>
  <c r="P427" i="8"/>
  <c r="P424" i="8"/>
  <c r="P379" i="8"/>
  <c r="P410" i="8"/>
  <c r="P449" i="8"/>
  <c r="P437" i="8"/>
  <c r="P390" i="8"/>
  <c r="P389" i="8"/>
  <c r="P387" i="8"/>
  <c r="P385" i="8"/>
  <c r="P383" i="8"/>
  <c r="P428" i="8"/>
  <c r="P415" i="8"/>
  <c r="P420" i="8"/>
  <c r="P412" i="8"/>
  <c r="P392" i="8"/>
  <c r="P445" i="8"/>
  <c r="P431" i="8"/>
  <c r="P448" i="8"/>
  <c r="P446" i="8"/>
  <c r="P444" i="8"/>
  <c r="P442" i="8"/>
  <c r="P416" i="8"/>
  <c r="P403" i="8"/>
  <c r="P408" i="8"/>
  <c r="P402" i="8"/>
  <c r="P436" i="8"/>
  <c r="P434" i="8"/>
  <c r="P432" i="8"/>
  <c r="P430" i="8"/>
  <c r="P404" i="8"/>
  <c r="P393" i="8"/>
  <c r="P418" i="8"/>
  <c r="P406" i="8"/>
  <c r="P380" i="8"/>
  <c r="P450" i="8"/>
  <c r="P435" i="8"/>
  <c r="P400" i="8"/>
  <c r="P398" i="8"/>
  <c r="P396" i="8"/>
  <c r="P394" i="8"/>
  <c r="P426" i="8"/>
  <c r="P391" i="8"/>
  <c r="P388" i="8"/>
  <c r="P384" i="8"/>
  <c r="P382" i="8"/>
  <c r="P381" i="8"/>
  <c r="P447" i="8"/>
  <c r="P429" i="8"/>
  <c r="P386" i="8"/>
  <c r="P414" i="8"/>
  <c r="P443" i="8"/>
  <c r="P433" i="8"/>
  <c r="P425" i="8"/>
  <c r="P423" i="8"/>
  <c r="P421" i="8"/>
  <c r="P419" i="8"/>
  <c r="P417" i="8"/>
  <c r="P378" i="8"/>
  <c r="P186" i="8"/>
  <c r="P183" i="8"/>
  <c r="P181" i="8"/>
  <c r="P216" i="8"/>
  <c r="P166" i="8"/>
  <c r="P227" i="8"/>
  <c r="P207" i="8"/>
  <c r="P173" i="8"/>
  <c r="P170" i="8"/>
  <c r="P168" i="8"/>
  <c r="P203" i="8"/>
  <c r="P165" i="8"/>
  <c r="P217" i="8"/>
  <c r="P222" i="8"/>
  <c r="P202" i="8"/>
  <c r="P179" i="8"/>
  <c r="P160" i="8"/>
  <c r="P157" i="8"/>
  <c r="P155" i="8"/>
  <c r="P190" i="8"/>
  <c r="P201" i="8"/>
  <c r="P215" i="8"/>
  <c r="P213" i="8"/>
  <c r="P223" i="8"/>
  <c r="P224" i="8"/>
  <c r="P221" i="8"/>
  <c r="P219" i="8"/>
  <c r="P177" i="8"/>
  <c r="P198" i="8"/>
  <c r="P176" i="8"/>
  <c r="P220" i="8"/>
  <c r="P185" i="8"/>
  <c r="P178" i="8"/>
  <c r="P196" i="8"/>
  <c r="P211" i="8"/>
  <c r="P210" i="8"/>
  <c r="P208" i="8"/>
  <c r="P206" i="8"/>
  <c r="P164" i="8"/>
  <c r="P161" i="8"/>
  <c r="P226" i="8"/>
  <c r="P194" i="8"/>
  <c r="P199" i="8"/>
  <c r="P197" i="8"/>
  <c r="P195" i="8"/>
  <c r="P193" i="8"/>
  <c r="P214" i="8"/>
  <c r="P188" i="8"/>
  <c r="P192" i="8"/>
  <c r="P200" i="8"/>
  <c r="P187" i="8"/>
  <c r="P184" i="8"/>
  <c r="P182" i="8"/>
  <c r="P180" i="8"/>
  <c r="P174" i="8"/>
  <c r="P225" i="8"/>
  <c r="P209" i="8"/>
  <c r="P189" i="8"/>
  <c r="P175" i="8"/>
  <c r="P171" i="8"/>
  <c r="P169" i="8"/>
  <c r="P167" i="8"/>
  <c r="P212" i="8"/>
  <c r="P191" i="8"/>
  <c r="P134" i="8" s="1"/>
  <c r="P162" i="8"/>
  <c r="P204" i="8"/>
  <c r="P163" i="8"/>
  <c r="P158" i="8"/>
  <c r="P156" i="8"/>
  <c r="P218" i="8"/>
  <c r="P172" i="8"/>
  <c r="P159" i="8"/>
  <c r="P205" i="8"/>
  <c r="P71" i="8"/>
  <c r="P108" i="8"/>
  <c r="P77" i="8"/>
  <c r="P94" i="8"/>
  <c r="P97" i="8"/>
  <c r="P100" i="8"/>
  <c r="P114" i="8"/>
  <c r="P130" i="8"/>
  <c r="P124" i="8"/>
  <c r="P106" i="8"/>
  <c r="R277" i="8"/>
  <c r="R259" i="8"/>
  <c r="R231" i="8"/>
  <c r="R298" i="8"/>
  <c r="R263" i="8"/>
  <c r="J116" i="8"/>
  <c r="J118" i="8"/>
  <c r="J111" i="8"/>
  <c r="J113" i="8"/>
  <c r="J110" i="8"/>
  <c r="J112" i="8"/>
  <c r="J119" i="8"/>
  <c r="J117" i="8"/>
  <c r="Z261" i="8"/>
  <c r="Z277" i="8"/>
  <c r="L176" i="8"/>
  <c r="L185" i="8"/>
  <c r="L205" i="8"/>
  <c r="L179" i="8"/>
  <c r="L163" i="8"/>
  <c r="L224" i="8"/>
  <c r="L180" i="8"/>
  <c r="L194" i="8"/>
  <c r="L216" i="8"/>
  <c r="L171" i="8"/>
  <c r="L161" i="8"/>
  <c r="L182" i="8"/>
  <c r="L199" i="8"/>
  <c r="L222" i="8"/>
  <c r="L165" i="8"/>
  <c r="L173" i="8"/>
  <c r="L207" i="8"/>
  <c r="L223" i="8"/>
  <c r="L189" i="8"/>
  <c r="L186" i="8"/>
  <c r="L202" i="8"/>
  <c r="L211" i="8"/>
  <c r="L178" i="8"/>
  <c r="L181" i="8"/>
  <c r="L162" i="8"/>
  <c r="L210" i="8"/>
  <c r="L167" i="8"/>
  <c r="L164" i="8"/>
  <c r="L217" i="8"/>
  <c r="L174" i="8"/>
  <c r="L169" i="8"/>
  <c r="L200" i="8"/>
  <c r="L218" i="8"/>
  <c r="L184" i="8"/>
  <c r="L226" i="8"/>
  <c r="L209" i="8"/>
  <c r="L203" i="8"/>
  <c r="L213" i="8"/>
  <c r="L188" i="8"/>
  <c r="L225" i="8"/>
  <c r="L190" i="8"/>
  <c r="L221" i="8"/>
  <c r="L193" i="8"/>
  <c r="L166" i="8"/>
  <c r="L206" i="8"/>
  <c r="L157" i="8"/>
  <c r="L192" i="8"/>
  <c r="L183" i="8"/>
  <c r="L204" i="8"/>
  <c r="L159" i="8"/>
  <c r="L191" i="8"/>
  <c r="L134" i="8" s="1"/>
  <c r="L198" i="8"/>
  <c r="L208" i="8"/>
  <c r="L227" i="8"/>
  <c r="L215" i="8"/>
  <c r="L212" i="8"/>
  <c r="L196" i="8"/>
  <c r="L197" i="8"/>
  <c r="L172" i="8"/>
  <c r="L170" i="8"/>
  <c r="L187" i="8"/>
  <c r="L201" i="8"/>
  <c r="L214" i="8"/>
  <c r="L195" i="8"/>
  <c r="L168" i="8"/>
  <c r="L175" i="8"/>
  <c r="L77" i="8"/>
  <c r="L158" i="8"/>
  <c r="L220" i="8"/>
  <c r="L219" i="8"/>
  <c r="L177" i="8"/>
  <c r="R241" i="8"/>
  <c r="L155" i="8"/>
  <c r="L156" i="8"/>
  <c r="R235" i="8"/>
  <c r="Z295" i="8"/>
  <c r="Z238" i="8"/>
  <c r="Z230" i="8"/>
  <c r="Z298" i="8"/>
  <c r="Z291" i="8"/>
  <c r="Z282" i="8"/>
  <c r="Z276" i="8"/>
  <c r="Z272" i="8"/>
  <c r="Z280" i="8"/>
  <c r="Z269" i="8"/>
  <c r="Z260" i="8"/>
  <c r="Z235" i="8"/>
  <c r="Z278" i="8"/>
  <c r="Z296" i="8"/>
  <c r="Z255" i="8"/>
  <c r="Z262" i="8"/>
  <c r="Z253" i="8"/>
  <c r="Z257" i="8"/>
  <c r="Z275" i="8"/>
  <c r="Z229" i="8"/>
  <c r="Z283" i="8"/>
  <c r="Z231" i="8"/>
  <c r="Z268" i="8"/>
  <c r="Z233" i="8"/>
  <c r="Z242" i="8"/>
  <c r="Z236" i="8"/>
  <c r="Z279" i="8"/>
  <c r="Z259" i="8"/>
  <c r="Z293" i="8"/>
  <c r="Z237" i="8"/>
  <c r="Z294" i="8"/>
  <c r="Z267" i="8"/>
  <c r="Z265" i="8"/>
  <c r="Z266" i="8"/>
  <c r="Z287" i="8"/>
  <c r="Z232" i="8"/>
  <c r="Z273" i="8"/>
  <c r="Z246" i="8"/>
  <c r="Z290" i="8"/>
  <c r="Z285" i="8"/>
  <c r="Z239" i="8"/>
  <c r="Z292" i="8"/>
  <c r="Z271" i="8"/>
  <c r="Z244" i="8"/>
  <c r="Z256" i="8"/>
  <c r="Z245" i="8"/>
  <c r="Z274" i="8"/>
  <c r="Z251" i="8"/>
  <c r="Z288" i="8"/>
  <c r="Z243" i="8"/>
  <c r="Z240" i="8"/>
  <c r="Z252" i="8"/>
  <c r="Z254" i="8"/>
  <c r="Z297" i="8"/>
  <c r="R238" i="8"/>
  <c r="R279" i="8"/>
  <c r="L95" i="8"/>
  <c r="L98" i="8"/>
  <c r="Z264" i="8"/>
  <c r="Z234" i="8"/>
  <c r="Z289" i="8"/>
  <c r="Z98" i="8"/>
  <c r="Z101" i="8"/>
  <c r="Z418" i="8"/>
  <c r="Z449" i="8"/>
  <c r="Z434" i="8"/>
  <c r="Z404" i="8"/>
  <c r="Z125" i="8"/>
  <c r="Z78" i="8"/>
  <c r="Z284" i="8"/>
  <c r="Z247" i="8"/>
  <c r="Z395" i="8"/>
  <c r="Z131" i="8"/>
  <c r="Z263" i="8"/>
  <c r="Z248" i="8"/>
  <c r="Z428" i="8"/>
  <c r="Z72" i="8"/>
  <c r="Z443" i="8"/>
  <c r="T401" i="8"/>
  <c r="Z406" i="8"/>
  <c r="R301" i="8"/>
  <c r="R250" i="8"/>
  <c r="Z386" i="8"/>
  <c r="Z115" i="8"/>
  <c r="Z119" i="8" s="1"/>
  <c r="Z442" i="8"/>
  <c r="R271" i="8"/>
  <c r="Z109" i="8"/>
  <c r="Z113" i="8" s="1"/>
  <c r="Z107" i="8"/>
  <c r="Z408" i="8"/>
  <c r="R236" i="8"/>
  <c r="Z383" i="8"/>
  <c r="R292" i="8"/>
  <c r="T285" i="8"/>
  <c r="T430" i="8"/>
  <c r="T388" i="8"/>
  <c r="R429" i="8"/>
  <c r="Z382" i="8"/>
  <c r="Z438" i="8"/>
  <c r="R403" i="8"/>
  <c r="Z426" i="8"/>
  <c r="Z385" i="8"/>
  <c r="Z401" i="8"/>
  <c r="Z421" i="8"/>
  <c r="Z422" i="8"/>
  <c r="Z400" i="8"/>
  <c r="Z430" i="8"/>
  <c r="Z427" i="8"/>
  <c r="R278" i="8"/>
  <c r="Z388" i="8"/>
  <c r="Z447" i="8"/>
  <c r="R284" i="8"/>
  <c r="Z381" i="8"/>
  <c r="Z397" i="8"/>
  <c r="Z387" i="8"/>
  <c r="Z378" i="8"/>
  <c r="Z450" i="8"/>
  <c r="Z432" i="8"/>
  <c r="Z411" i="8"/>
  <c r="Z431" i="8"/>
  <c r="Z396" i="8"/>
  <c r="Z405" i="8"/>
  <c r="Z402" i="8"/>
  <c r="Z446" i="8"/>
  <c r="Z389" i="8"/>
  <c r="Z439" i="8"/>
  <c r="Z420" i="8"/>
  <c r="Z409" i="8"/>
  <c r="Z440" i="8"/>
  <c r="Z413" i="8"/>
  <c r="R300" i="8"/>
  <c r="Z414" i="8"/>
  <c r="Z429" i="8"/>
  <c r="Z380" i="8"/>
  <c r="Z412" i="8"/>
  <c r="Z433" i="8"/>
  <c r="R288" i="8"/>
  <c r="Z399" i="8"/>
  <c r="Z444" i="8"/>
  <c r="Z425" i="8"/>
  <c r="Z391" i="8"/>
  <c r="Z435" i="8"/>
  <c r="L230" i="8"/>
  <c r="L286" i="8"/>
  <c r="L243" i="8"/>
  <c r="L270" i="8"/>
  <c r="L392" i="8"/>
  <c r="L428" i="8"/>
  <c r="L447" i="8"/>
  <c r="L420" i="8"/>
  <c r="L413" i="8"/>
  <c r="T420" i="8"/>
  <c r="Z448" i="8"/>
  <c r="Z436" i="8"/>
  <c r="Z417" i="8"/>
  <c r="Z437" i="8"/>
  <c r="Z416" i="8"/>
  <c r="Z392" i="8"/>
  <c r="Z394" i="8"/>
  <c r="Z424" i="8"/>
  <c r="T255" i="8"/>
  <c r="Z407" i="8"/>
  <c r="Z403" i="8"/>
  <c r="Z415" i="8"/>
  <c r="Z423" i="8"/>
  <c r="Z445" i="8"/>
  <c r="Z390" i="8"/>
  <c r="Z393" i="8"/>
  <c r="R242" i="8"/>
  <c r="T95" i="8"/>
  <c r="Z379" i="8"/>
  <c r="Z398" i="8"/>
  <c r="Z441" i="8"/>
  <c r="Z410" i="8"/>
  <c r="Z419" i="8"/>
  <c r="R289" i="8"/>
  <c r="L386" i="8"/>
  <c r="L393" i="8"/>
  <c r="L277" i="8"/>
  <c r="L245" i="8"/>
  <c r="L279" i="8"/>
  <c r="L252" i="8"/>
  <c r="L251" i="8"/>
  <c r="L269" i="8"/>
  <c r="L233" i="8"/>
  <c r="L262" i="8"/>
  <c r="L442" i="8"/>
  <c r="L418" i="8"/>
  <c r="L275" i="8"/>
  <c r="L265" i="8"/>
  <c r="L274" i="8"/>
  <c r="L248" i="8"/>
  <c r="L405" i="8"/>
  <c r="L71" i="8"/>
  <c r="L108" i="8"/>
  <c r="L112" i="8" s="1"/>
  <c r="L439" i="8"/>
  <c r="L389" i="8"/>
  <c r="L292" i="8"/>
  <c r="L263" i="8"/>
  <c r="L234" i="8"/>
  <c r="L268" i="8"/>
  <c r="T391" i="8"/>
  <c r="L438" i="8"/>
  <c r="L297" i="8"/>
  <c r="L249" i="8"/>
  <c r="L290" i="8"/>
  <c r="L401" i="8"/>
  <c r="L283" i="8"/>
  <c r="L400" i="8"/>
  <c r="L238" i="8"/>
  <c r="L285" i="8"/>
  <c r="L276" i="8"/>
  <c r="L293" i="8"/>
  <c r="T382" i="8"/>
  <c r="T438" i="8"/>
  <c r="R230" i="8"/>
  <c r="R287" i="8"/>
  <c r="L444" i="8"/>
  <c r="L78" i="8"/>
  <c r="L266" i="8"/>
  <c r="L247" i="8"/>
  <c r="L235" i="8"/>
  <c r="L431" i="8"/>
  <c r="T249" i="8"/>
  <c r="T385" i="8"/>
  <c r="L299" i="8"/>
  <c r="L412" i="8"/>
  <c r="L397" i="8"/>
  <c r="L396" i="8"/>
  <c r="L260" i="8"/>
  <c r="L288" i="8"/>
  <c r="L291" i="8"/>
  <c r="L229" i="8"/>
  <c r="T437" i="8"/>
  <c r="L398" i="8"/>
  <c r="R245" i="8"/>
  <c r="R255" i="8"/>
  <c r="L411" i="8"/>
  <c r="L416" i="8"/>
  <c r="L300" i="8"/>
  <c r="L301" i="8"/>
  <c r="L239" i="8"/>
  <c r="L295" i="8"/>
  <c r="T440" i="8"/>
  <c r="T406" i="8"/>
  <c r="R229" i="8"/>
  <c r="R294" i="8"/>
  <c r="L382" i="8"/>
  <c r="L427" i="8"/>
  <c r="L282" i="8"/>
  <c r="L240" i="8"/>
  <c r="L259" i="8"/>
  <c r="L267" i="8"/>
  <c r="T443" i="8"/>
  <c r="T403" i="8"/>
  <c r="T274" i="8"/>
  <c r="T250" i="8"/>
  <c r="T253" i="8"/>
  <c r="T242" i="8"/>
  <c r="T289" i="8"/>
  <c r="T256" i="8"/>
  <c r="T410" i="8"/>
  <c r="R282" i="8"/>
  <c r="R237" i="8"/>
  <c r="T378" i="8"/>
  <c r="T421" i="8"/>
  <c r="T395" i="8"/>
  <c r="R252" i="8"/>
  <c r="R274" i="8"/>
  <c r="R260" i="8"/>
  <c r="L273" i="8"/>
  <c r="L242" i="8"/>
  <c r="L296" i="8"/>
  <c r="T435" i="8"/>
  <c r="T387" i="8"/>
  <c r="T404" i="8"/>
  <c r="T441" i="8"/>
  <c r="T384" i="8"/>
  <c r="T405" i="8"/>
  <c r="T444" i="8"/>
  <c r="T446" i="8"/>
  <c r="R276" i="8"/>
  <c r="R246" i="8"/>
  <c r="T447" i="8"/>
  <c r="T263" i="8"/>
  <c r="T411" i="8"/>
  <c r="T416" i="8"/>
  <c r="R270" i="8"/>
  <c r="R258" i="8"/>
  <c r="R264" i="8"/>
  <c r="L278" i="8"/>
  <c r="L271" i="8"/>
  <c r="L294" i="8"/>
  <c r="T399" i="8"/>
  <c r="T426" i="8"/>
  <c r="T292" i="8"/>
  <c r="T393" i="8"/>
  <c r="T423" i="8"/>
  <c r="R239" i="8"/>
  <c r="R261" i="8"/>
  <c r="R297" i="8"/>
  <c r="L256" i="8"/>
  <c r="L253" i="8"/>
  <c r="T275" i="8"/>
  <c r="T407" i="8"/>
  <c r="T381" i="8"/>
  <c r="T283" i="8"/>
  <c r="T427" i="8"/>
  <c r="T78" i="8"/>
  <c r="L231" i="8"/>
  <c r="L287" i="8"/>
  <c r="L257" i="8"/>
  <c r="L261" i="8"/>
  <c r="T383" i="8"/>
  <c r="T448" i="8"/>
  <c r="T428" i="8"/>
  <c r="T390" i="8"/>
  <c r="L125" i="8"/>
  <c r="L107" i="8"/>
  <c r="L423" i="8"/>
  <c r="L387" i="8"/>
  <c r="L379" i="8"/>
  <c r="L298" i="8"/>
  <c r="L258" i="8"/>
  <c r="L394" i="8"/>
  <c r="L264" i="8"/>
  <c r="L237" i="8"/>
  <c r="L250" i="8"/>
  <c r="T379" i="8"/>
  <c r="T419" i="8"/>
  <c r="L72" i="8"/>
  <c r="R78" i="8"/>
  <c r="R400" i="8"/>
  <c r="R244" i="8"/>
  <c r="R265" i="8"/>
  <c r="R248" i="8"/>
  <c r="R295" i="8"/>
  <c r="L390" i="8"/>
  <c r="L395" i="8"/>
  <c r="L272" i="8"/>
  <c r="L289" i="8"/>
  <c r="L236" i="8"/>
  <c r="L255" i="8"/>
  <c r="L284" i="8"/>
  <c r="L232" i="8"/>
  <c r="L281" i="8"/>
  <c r="T422" i="8"/>
  <c r="T397" i="8"/>
  <c r="T415" i="8"/>
  <c r="T439" i="8"/>
  <c r="T442" i="8"/>
  <c r="M17" i="8"/>
  <c r="M18" i="8" s="1"/>
  <c r="M10" i="8"/>
  <c r="M30" i="8" s="1"/>
  <c r="M32" i="8" s="1"/>
  <c r="T109" i="8"/>
  <c r="L75" i="8"/>
  <c r="L31" i="4"/>
  <c r="L30" i="4"/>
  <c r="L30" i="8"/>
  <c r="L429" i="8"/>
  <c r="L419" i="8"/>
  <c r="L18" i="8"/>
  <c r="M16" i="8"/>
  <c r="M14" i="8" s="1"/>
  <c r="L84" i="8"/>
  <c r="L432" i="8"/>
  <c r="L399" i="8"/>
  <c r="L388" i="8"/>
  <c r="L385" i="8"/>
  <c r="L436" i="8"/>
  <c r="L378" i="8"/>
  <c r="L433" i="8"/>
  <c r="T264" i="8"/>
  <c r="T271" i="8"/>
  <c r="T268" i="8"/>
  <c r="L384" i="8"/>
  <c r="L445" i="8"/>
  <c r="L441" i="8"/>
  <c r="L443" i="8"/>
  <c r="L422" i="8"/>
  <c r="L410" i="8"/>
  <c r="L430" i="8"/>
  <c r="T267" i="8"/>
  <c r="T101" i="8"/>
  <c r="T252" i="8"/>
  <c r="T98" i="8"/>
  <c r="T131" i="8"/>
  <c r="L391" i="8"/>
  <c r="L415" i="8"/>
  <c r="L446" i="8"/>
  <c r="L434" i="8"/>
  <c r="L426" i="8"/>
  <c r="L404" i="8"/>
  <c r="T236" i="8"/>
  <c r="T260" i="8"/>
  <c r="T277" i="8"/>
  <c r="L440" i="8"/>
  <c r="L131" i="8"/>
  <c r="L383" i="8"/>
  <c r="L417" i="8"/>
  <c r="L406" i="8"/>
  <c r="L449" i="8"/>
  <c r="T284" i="8"/>
  <c r="T115" i="8"/>
  <c r="T119" i="8" s="1"/>
  <c r="T240" i="8"/>
  <c r="T107" i="8"/>
  <c r="T400" i="8"/>
  <c r="T412" i="8"/>
  <c r="L425" i="8"/>
  <c r="L424" i="8"/>
  <c r="L101" i="8"/>
  <c r="L408" i="8"/>
  <c r="L421" i="8"/>
  <c r="L380" i="8"/>
  <c r="T72" i="8"/>
  <c r="T432" i="8"/>
  <c r="T418" i="8"/>
  <c r="T396" i="8"/>
  <c r="L381" i="8"/>
  <c r="L435" i="8"/>
  <c r="L409" i="8"/>
  <c r="L414" i="8"/>
  <c r="L402" i="8"/>
  <c r="L448" i="8"/>
  <c r="T449" i="8"/>
  <c r="T431" i="8"/>
  <c r="T380" i="8"/>
  <c r="R440" i="8"/>
  <c r="R420" i="8"/>
  <c r="R392" i="8"/>
  <c r="R383" i="8"/>
  <c r="T295" i="8"/>
  <c r="T235" i="8"/>
  <c r="T238" i="8"/>
  <c r="T258" i="8"/>
  <c r="T248" i="8"/>
  <c r="R380" i="8"/>
  <c r="R397" i="8"/>
  <c r="R394" i="8"/>
  <c r="R413" i="8"/>
  <c r="R249" i="8"/>
  <c r="R272" i="8"/>
  <c r="R268" i="8"/>
  <c r="R285" i="8"/>
  <c r="R253" i="8"/>
  <c r="R247" i="8"/>
  <c r="T280" i="8"/>
  <c r="T251" i="8"/>
  <c r="T254" i="8"/>
  <c r="T243" i="8"/>
  <c r="T257" i="8"/>
  <c r="T276" i="8"/>
  <c r="T293" i="8"/>
  <c r="R444" i="8"/>
  <c r="R393" i="8"/>
  <c r="R421" i="8"/>
  <c r="R410" i="8"/>
  <c r="T301" i="8"/>
  <c r="R406" i="8"/>
  <c r="T296" i="8"/>
  <c r="R446" i="8"/>
  <c r="R409" i="8"/>
  <c r="R378" i="8"/>
  <c r="R379" i="8"/>
  <c r="R262" i="8"/>
  <c r="R251" i="8"/>
  <c r="R299" i="8"/>
  <c r="R283" i="8"/>
  <c r="R290" i="8"/>
  <c r="R293" i="8"/>
  <c r="T246" i="8"/>
  <c r="T237" i="8"/>
  <c r="T272" i="8"/>
  <c r="T265" i="8"/>
  <c r="T232" i="8"/>
  <c r="T286" i="8"/>
  <c r="T386" i="8"/>
  <c r="R381" i="8"/>
  <c r="R390" i="8"/>
  <c r="R412" i="8"/>
  <c r="T291" i="8"/>
  <c r="T288" i="8"/>
  <c r="R411" i="8"/>
  <c r="T241" i="8"/>
  <c r="T282" i="8"/>
  <c r="T259" i="8"/>
  <c r="R423" i="8"/>
  <c r="R384" i="8"/>
  <c r="R419" i="8"/>
  <c r="R426" i="8"/>
  <c r="R267" i="8"/>
  <c r="R273" i="8"/>
  <c r="R243" i="8"/>
  <c r="R240" i="8"/>
  <c r="R254" i="8"/>
  <c r="R232" i="8"/>
  <c r="T233" i="8"/>
  <c r="T290" i="8"/>
  <c r="T278" i="8"/>
  <c r="T234" i="8"/>
  <c r="T266" i="8"/>
  <c r="T417" i="8"/>
  <c r="T392" i="8"/>
  <c r="T433" i="8"/>
  <c r="T434" i="8"/>
  <c r="R382" i="8"/>
  <c r="R385" i="8"/>
  <c r="T287" i="8"/>
  <c r="R431" i="8"/>
  <c r="R399" i="8"/>
  <c r="R447" i="8"/>
  <c r="R386" i="8"/>
  <c r="R401" i="8"/>
  <c r="R257" i="8"/>
  <c r="R275" i="8"/>
  <c r="R266" i="8"/>
  <c r="R286" i="8"/>
  <c r="R280" i="8"/>
  <c r="R281" i="8"/>
  <c r="T279" i="8"/>
  <c r="T298" i="8"/>
  <c r="T281" i="8"/>
  <c r="T270" i="8"/>
  <c r="T245" i="8"/>
  <c r="T414" i="8"/>
  <c r="T261" i="8"/>
  <c r="R449" i="8"/>
  <c r="R405" i="8"/>
  <c r="R428" i="8"/>
  <c r="R439" i="8"/>
  <c r="T247" i="8"/>
  <c r="R450" i="8"/>
  <c r="R432" i="8"/>
  <c r="R388" i="8"/>
  <c r="R448" i="8"/>
  <c r="R269" i="8"/>
  <c r="R233" i="8"/>
  <c r="R234" i="8"/>
  <c r="R291" i="8"/>
  <c r="R256" i="8"/>
  <c r="T239" i="8"/>
  <c r="T299" i="8"/>
  <c r="T429" i="8"/>
  <c r="R95" i="8"/>
  <c r="H107" i="8"/>
  <c r="H72" i="8"/>
  <c r="H78" i="8"/>
  <c r="H98" i="8"/>
  <c r="H101" i="8"/>
  <c r="H131" i="8"/>
  <c r="H125" i="8"/>
  <c r="H95" i="8"/>
  <c r="H109" i="8"/>
  <c r="H115" i="8"/>
  <c r="R101" i="8"/>
  <c r="R425" i="8"/>
  <c r="R434" i="8"/>
  <c r="R437" i="8"/>
  <c r="H202" i="8"/>
  <c r="H222" i="8"/>
  <c r="H183" i="8"/>
  <c r="H198" i="8"/>
  <c r="H211" i="8"/>
  <c r="H193" i="8"/>
  <c r="H168" i="8"/>
  <c r="H190" i="8"/>
  <c r="H209" i="8"/>
  <c r="H167" i="8"/>
  <c r="H197" i="8"/>
  <c r="H176" i="8"/>
  <c r="H226" i="8"/>
  <c r="H196" i="8"/>
  <c r="H155" i="8"/>
  <c r="H195" i="8"/>
  <c r="H223" i="8"/>
  <c r="H159" i="8"/>
  <c r="H180" i="8"/>
  <c r="H171" i="8"/>
  <c r="H182" i="8"/>
  <c r="H227" i="8"/>
  <c r="H199" i="8"/>
  <c r="H175" i="8"/>
  <c r="H161" i="8"/>
  <c r="H178" i="8"/>
  <c r="H187" i="8"/>
  <c r="H174" i="8"/>
  <c r="H208" i="8"/>
  <c r="H189" i="8"/>
  <c r="H160" i="8"/>
  <c r="H200" i="8"/>
  <c r="H194" i="8"/>
  <c r="H224" i="8"/>
  <c r="H205" i="8"/>
  <c r="H169" i="8"/>
  <c r="H201" i="8"/>
  <c r="H177" i="8"/>
  <c r="H218" i="8"/>
  <c r="H162" i="8"/>
  <c r="H207" i="8"/>
  <c r="H184" i="8"/>
  <c r="H173" i="8"/>
  <c r="H188" i="8"/>
  <c r="H185" i="8"/>
  <c r="H210" i="8"/>
  <c r="H214" i="8"/>
  <c r="H220" i="8"/>
  <c r="H204" i="8"/>
  <c r="H203" i="8"/>
  <c r="H172" i="8"/>
  <c r="H157" i="8"/>
  <c r="H221" i="8"/>
  <c r="H164" i="8"/>
  <c r="H186" i="8"/>
  <c r="H216" i="8"/>
  <c r="H217" i="8"/>
  <c r="H219" i="8"/>
  <c r="H225" i="8"/>
  <c r="H166" i="8"/>
  <c r="H212" i="8"/>
  <c r="H191" i="8"/>
  <c r="H134" i="8" s="1"/>
  <c r="H156" i="8"/>
  <c r="H215" i="8"/>
  <c r="H165" i="8"/>
  <c r="H158" i="8"/>
  <c r="H179" i="8"/>
  <c r="H213" i="8"/>
  <c r="H181" i="8"/>
  <c r="H163" i="8"/>
  <c r="H170" i="8"/>
  <c r="H206" i="8"/>
  <c r="H192" i="8"/>
  <c r="H71" i="8"/>
  <c r="H108" i="8"/>
  <c r="H77" i="8"/>
  <c r="H94" i="8"/>
  <c r="H97" i="8"/>
  <c r="H124" i="8"/>
  <c r="H114" i="8"/>
  <c r="H130" i="8"/>
  <c r="H106" i="8"/>
  <c r="H100" i="8"/>
  <c r="H256" i="8"/>
  <c r="H288" i="8"/>
  <c r="H275" i="8"/>
  <c r="H255" i="8"/>
  <c r="H298" i="8"/>
  <c r="H270" i="8"/>
  <c r="H239" i="8"/>
  <c r="H301" i="8"/>
  <c r="H278" i="8"/>
  <c r="H285" i="8"/>
  <c r="H281" i="8"/>
  <c r="H235" i="8"/>
  <c r="H251" i="8"/>
  <c r="H231" i="8"/>
  <c r="H279" i="8"/>
  <c r="H230" i="8"/>
  <c r="H271" i="8"/>
  <c r="H246" i="8"/>
  <c r="H232" i="8"/>
  <c r="H252" i="8"/>
  <c r="H234" i="8"/>
  <c r="H264" i="8"/>
  <c r="H269" i="8"/>
  <c r="H253" i="8"/>
  <c r="H292" i="8"/>
  <c r="H262" i="8"/>
  <c r="H257" i="8"/>
  <c r="H300" i="8"/>
  <c r="H236" i="8"/>
  <c r="H276" i="8"/>
  <c r="H244" i="8"/>
  <c r="H289" i="8"/>
  <c r="H259" i="8"/>
  <c r="H268" i="8"/>
  <c r="H296" i="8"/>
  <c r="H258" i="8"/>
  <c r="H266" i="8"/>
  <c r="H237" i="8"/>
  <c r="H297" i="8"/>
  <c r="H241" i="8"/>
  <c r="H261" i="8"/>
  <c r="H272" i="8"/>
  <c r="H291" i="8"/>
  <c r="H286" i="8"/>
  <c r="H273" i="8"/>
  <c r="H240" i="8"/>
  <c r="H283" i="8"/>
  <c r="H229" i="8"/>
  <c r="H267" i="8"/>
  <c r="H295" i="8"/>
  <c r="H238" i="8"/>
  <c r="H293" i="8"/>
  <c r="H277" i="8"/>
  <c r="H290" i="8"/>
  <c r="H280" i="8"/>
  <c r="H260" i="8"/>
  <c r="H254" i="8"/>
  <c r="H265" i="8"/>
  <c r="H284" i="8"/>
  <c r="H287" i="8"/>
  <c r="H294" i="8"/>
  <c r="H243" i="8"/>
  <c r="H247" i="8"/>
  <c r="H274" i="8"/>
  <c r="H245" i="8"/>
  <c r="H242" i="8"/>
  <c r="H248" i="8"/>
  <c r="H282" i="8"/>
  <c r="H299" i="8"/>
  <c r="H250" i="8"/>
  <c r="H263" i="8"/>
  <c r="H233" i="8"/>
  <c r="H249" i="8"/>
  <c r="R417" i="8"/>
  <c r="R416" i="8"/>
  <c r="R441" i="8"/>
  <c r="R443" i="8"/>
  <c r="R396" i="8"/>
  <c r="R408" i="8"/>
  <c r="R415" i="8"/>
  <c r="R438" i="8"/>
  <c r="R395" i="8"/>
  <c r="T231" i="8"/>
  <c r="T244" i="8"/>
  <c r="T229" i="8"/>
  <c r="H393" i="8"/>
  <c r="H407" i="8"/>
  <c r="H427" i="8"/>
  <c r="H378" i="8"/>
  <c r="H446" i="8"/>
  <c r="H395" i="8"/>
  <c r="H433" i="8"/>
  <c r="H439" i="8"/>
  <c r="H421" i="8"/>
  <c r="H414" i="8"/>
  <c r="H386" i="8"/>
  <c r="H448" i="8"/>
  <c r="H409" i="8"/>
  <c r="H423" i="8"/>
  <c r="H416" i="8"/>
  <c r="H411" i="8"/>
  <c r="H412" i="8"/>
  <c r="H413" i="8"/>
  <c r="H389" i="8"/>
  <c r="H388" i="8"/>
  <c r="H390" i="8"/>
  <c r="H404" i="8"/>
  <c r="H381" i="8"/>
  <c r="H387" i="8"/>
  <c r="H443" i="8"/>
  <c r="H392" i="8"/>
  <c r="H403" i="8"/>
  <c r="H415" i="8"/>
  <c r="H405" i="8"/>
  <c r="H400" i="8"/>
  <c r="H442" i="8"/>
  <c r="H399" i="8"/>
  <c r="H450" i="8"/>
  <c r="H436" i="8"/>
  <c r="H397" i="8"/>
  <c r="H445" i="8"/>
  <c r="H426" i="8"/>
  <c r="H384" i="8"/>
  <c r="H385" i="8"/>
  <c r="H398" i="8"/>
  <c r="H391" i="8"/>
  <c r="H424" i="8"/>
  <c r="H440" i="8"/>
  <c r="H422" i="8"/>
  <c r="H402" i="8"/>
  <c r="H379" i="8"/>
  <c r="H434" i="8"/>
  <c r="H438" i="8"/>
  <c r="H383" i="8"/>
  <c r="H437" i="8"/>
  <c r="H447" i="8"/>
  <c r="H408" i="8"/>
  <c r="H431" i="8"/>
  <c r="H396" i="8"/>
  <c r="H429" i="8"/>
  <c r="H441" i="8"/>
  <c r="H449" i="8"/>
  <c r="H420" i="8"/>
  <c r="H380" i="8"/>
  <c r="H444" i="8"/>
  <c r="H410" i="8"/>
  <c r="H394" i="8"/>
  <c r="H419" i="8"/>
  <c r="H401" i="8"/>
  <c r="H417" i="8"/>
  <c r="H425" i="8"/>
  <c r="H382" i="8"/>
  <c r="H406" i="8"/>
  <c r="H430" i="8"/>
  <c r="H435" i="8"/>
  <c r="H428" i="8"/>
  <c r="H418" i="8"/>
  <c r="H432" i="8"/>
  <c r="R72" i="8"/>
  <c r="R98" i="8"/>
  <c r="H364" i="8"/>
  <c r="H311" i="8"/>
  <c r="H352" i="8"/>
  <c r="H362" i="8"/>
  <c r="H371" i="8"/>
  <c r="H363" i="8"/>
  <c r="H304" i="8"/>
  <c r="H135" i="8" s="1"/>
  <c r="H350" i="8"/>
  <c r="H361" i="8"/>
  <c r="H335" i="8"/>
  <c r="H343" i="8"/>
  <c r="H353" i="8"/>
  <c r="H309" i="8"/>
  <c r="H336" i="8"/>
  <c r="H340" i="8"/>
  <c r="H360" i="8"/>
  <c r="H326" i="8"/>
  <c r="H341" i="8"/>
  <c r="H358" i="8"/>
  <c r="H308" i="8"/>
  <c r="H306" i="8"/>
  <c r="H376" i="8"/>
  <c r="H307" i="8"/>
  <c r="H349" i="8"/>
  <c r="H359" i="8"/>
  <c r="H330" i="8"/>
  <c r="H315" i="8"/>
  <c r="H367" i="8"/>
  <c r="H374" i="8"/>
  <c r="H365" i="8"/>
  <c r="H305" i="8"/>
  <c r="H333" i="8"/>
  <c r="H366" i="8"/>
  <c r="H325" i="8"/>
  <c r="H348" i="8"/>
  <c r="H316" i="8"/>
  <c r="H313" i="8"/>
  <c r="H355" i="8"/>
  <c r="H339" i="8"/>
  <c r="H318" i="8"/>
  <c r="H317" i="8"/>
  <c r="H370" i="8"/>
  <c r="H321" i="8"/>
  <c r="H345" i="8"/>
  <c r="H331" i="8"/>
  <c r="H344" i="8"/>
  <c r="H312" i="8"/>
  <c r="H354" i="8"/>
  <c r="H320" i="8"/>
  <c r="H327" i="8"/>
  <c r="H332" i="8"/>
  <c r="H347" i="8"/>
  <c r="H373" i="8"/>
  <c r="H329" i="8"/>
  <c r="H323" i="8"/>
  <c r="H375" i="8"/>
  <c r="H324" i="8"/>
  <c r="H319" i="8"/>
  <c r="H314" i="8"/>
  <c r="H372" i="8"/>
  <c r="H328" i="8"/>
  <c r="H368" i="8"/>
  <c r="H346" i="8"/>
  <c r="H356" i="8"/>
  <c r="H322" i="8"/>
  <c r="H338" i="8"/>
  <c r="H351" i="8"/>
  <c r="H337" i="8"/>
  <c r="H310" i="8"/>
  <c r="H357" i="8"/>
  <c r="H334" i="8"/>
  <c r="H342" i="8"/>
  <c r="H369" i="8"/>
  <c r="R442" i="8"/>
  <c r="R436" i="8"/>
  <c r="R435" i="8"/>
  <c r="R418" i="8"/>
  <c r="R391" i="8"/>
  <c r="R430" i="8"/>
  <c r="R115" i="8"/>
  <c r="R117" i="8" s="1"/>
  <c r="T394" i="8"/>
  <c r="T425" i="8"/>
  <c r="T408" i="8"/>
  <c r="R107" i="8"/>
  <c r="R445" i="8"/>
  <c r="R387" i="8"/>
  <c r="R402" i="8"/>
  <c r="R427" i="8"/>
  <c r="R389" i="8"/>
  <c r="R398" i="8"/>
  <c r="R131" i="8"/>
  <c r="T230" i="8"/>
  <c r="T269" i="8"/>
  <c r="T262" i="8"/>
  <c r="T402" i="8"/>
  <c r="T436" i="8"/>
  <c r="T445" i="8"/>
  <c r="T424" i="8"/>
  <c r="T409" i="8"/>
  <c r="R125" i="8"/>
  <c r="R422" i="8"/>
  <c r="R407" i="8"/>
  <c r="R424" i="8"/>
  <c r="R404" i="8"/>
  <c r="R414" i="8"/>
  <c r="T273" i="8"/>
  <c r="T297" i="8"/>
  <c r="T300" i="8"/>
  <c r="T389" i="8"/>
  <c r="T413" i="8"/>
  <c r="T450" i="8"/>
  <c r="L254" i="8"/>
  <c r="L246" i="8"/>
  <c r="L241" i="8"/>
  <c r="L403" i="8"/>
  <c r="L280" i="8"/>
  <c r="L450" i="8"/>
  <c r="L437" i="8"/>
  <c r="L29" i="8"/>
  <c r="M28" i="8"/>
  <c r="L92" i="8"/>
  <c r="M24" i="8"/>
  <c r="L26" i="8" a="1"/>
  <c r="L26" i="8" s="1"/>
  <c r="L88" i="8"/>
  <c r="L47" i="8"/>
  <c r="L115" i="8" s="1"/>
  <c r="L119" i="8" s="1"/>
  <c r="L48" i="8"/>
  <c r="L121" i="8"/>
  <c r="L113" i="8"/>
  <c r="L111" i="8"/>
  <c r="T318" i="8"/>
  <c r="T327" i="8"/>
  <c r="T307" i="8"/>
  <c r="T338" i="8"/>
  <c r="T373" i="8"/>
  <c r="T367" i="8"/>
  <c r="T349" i="8"/>
  <c r="T316" i="8"/>
  <c r="T309" i="8"/>
  <c r="T375" i="8"/>
  <c r="T330" i="8"/>
  <c r="T358" i="8"/>
  <c r="T368" i="8"/>
  <c r="T314" i="8"/>
  <c r="T315" i="8"/>
  <c r="T364" i="8"/>
  <c r="T310" i="8"/>
  <c r="T346" i="8"/>
  <c r="T355" i="8"/>
  <c r="T321" i="8"/>
  <c r="T323" i="8"/>
  <c r="T339" i="8"/>
  <c r="T345" i="8"/>
  <c r="T331" i="8"/>
  <c r="T320" i="8"/>
  <c r="T371" i="8"/>
  <c r="T352" i="8"/>
  <c r="T333" i="8"/>
  <c r="T376" i="8"/>
  <c r="T350" i="8"/>
  <c r="T324" i="8"/>
  <c r="T361" i="8"/>
  <c r="T325" i="8"/>
  <c r="T319" i="8"/>
  <c r="T360" i="8"/>
  <c r="T363" i="8"/>
  <c r="T340" i="8"/>
  <c r="T337" i="8"/>
  <c r="T311" i="8"/>
  <c r="T374" i="8"/>
  <c r="T343" i="8"/>
  <c r="T357" i="8"/>
  <c r="T336" i="8"/>
  <c r="T344" i="8"/>
  <c r="T351" i="8"/>
  <c r="T365" i="8"/>
  <c r="T317" i="8"/>
  <c r="T326" i="8"/>
  <c r="T304" i="8"/>
  <c r="T135" i="8" s="1"/>
  <c r="T322" i="8"/>
  <c r="T370" i="8"/>
  <c r="T359" i="8"/>
  <c r="T335" i="8"/>
  <c r="T366" i="8"/>
  <c r="T305" i="8"/>
  <c r="T356" i="8"/>
  <c r="T313" i="8"/>
  <c r="T369" i="8"/>
  <c r="T328" i="8"/>
  <c r="T312" i="8"/>
  <c r="T308" i="8"/>
  <c r="T348" i="8"/>
  <c r="T332" i="8"/>
  <c r="T372" i="8"/>
  <c r="T341" i="8"/>
  <c r="T347" i="8"/>
  <c r="T362" i="8"/>
  <c r="T329" i="8"/>
  <c r="T306" i="8"/>
  <c r="T334" i="8"/>
  <c r="T353" i="8"/>
  <c r="T342" i="8"/>
  <c r="T354" i="8"/>
  <c r="Z356" i="8"/>
  <c r="Z320" i="8"/>
  <c r="Z323" i="8"/>
  <c r="Z339" i="8"/>
  <c r="Z348" i="8"/>
  <c r="Z305" i="8"/>
  <c r="Z313" i="8"/>
  <c r="Z357" i="8"/>
  <c r="Z312" i="8"/>
  <c r="Z332" i="8"/>
  <c r="Z337" i="8"/>
  <c r="Z342" i="8"/>
  <c r="Z368" i="8"/>
  <c r="Z354" i="8"/>
  <c r="Z370" i="8"/>
  <c r="Z326" i="8"/>
  <c r="Z341" i="8"/>
  <c r="Z376" i="8"/>
  <c r="Z364" i="8"/>
  <c r="Z329" i="8"/>
  <c r="Z317" i="8"/>
  <c r="Z327" i="8"/>
  <c r="Z322" i="8"/>
  <c r="Z347" i="8"/>
  <c r="Z343" i="8"/>
  <c r="Z328" i="8"/>
  <c r="Z359" i="8"/>
  <c r="Z361" i="8"/>
  <c r="Z336" i="8"/>
  <c r="Z338" i="8"/>
  <c r="Z311" i="8"/>
  <c r="Z310" i="8"/>
  <c r="Z331" i="8"/>
  <c r="Z351" i="8"/>
  <c r="Z344" i="8"/>
  <c r="Z360" i="8"/>
  <c r="Z314" i="8"/>
  <c r="Z349" i="8"/>
  <c r="Z358" i="8"/>
  <c r="Z319" i="8"/>
  <c r="Z330" i="8"/>
  <c r="Z306" i="8"/>
  <c r="Z363" i="8"/>
  <c r="Z362" i="8"/>
  <c r="Z366" i="8"/>
  <c r="Z350" i="8"/>
  <c r="Z371" i="8"/>
  <c r="Z325" i="8"/>
  <c r="Z373" i="8"/>
  <c r="Z335" i="8"/>
  <c r="Z315" i="8"/>
  <c r="Z374" i="8"/>
  <c r="Z318" i="8"/>
  <c r="Z333" i="8"/>
  <c r="Z352" i="8"/>
  <c r="Z369" i="8"/>
  <c r="Z309" i="8"/>
  <c r="Z340" i="8"/>
  <c r="Z324" i="8"/>
  <c r="Z321" i="8"/>
  <c r="Z372" i="8"/>
  <c r="Z304" i="8"/>
  <c r="Z135" i="8" s="1"/>
  <c r="Z353" i="8"/>
  <c r="Z345" i="8"/>
  <c r="Z367" i="8"/>
  <c r="Z346" i="8"/>
  <c r="Z316" i="8"/>
  <c r="Z334" i="8"/>
  <c r="Z307" i="8"/>
  <c r="Z355" i="8"/>
  <c r="Z375" i="8"/>
  <c r="Z365" i="8"/>
  <c r="Z308" i="8"/>
  <c r="R368" i="8"/>
  <c r="R321" i="8"/>
  <c r="R305" i="8"/>
  <c r="R361" i="8"/>
  <c r="R363" i="8"/>
  <c r="R318" i="8"/>
  <c r="R307" i="8"/>
  <c r="R347" i="8"/>
  <c r="R352" i="8"/>
  <c r="R355" i="8"/>
  <c r="R365" i="8"/>
  <c r="R371" i="8"/>
  <c r="R332" i="8"/>
  <c r="R354" i="8"/>
  <c r="R344" i="8"/>
  <c r="R372" i="8"/>
  <c r="R350" i="8"/>
  <c r="R325" i="8"/>
  <c r="R376" i="8"/>
  <c r="R319" i="8"/>
  <c r="R317" i="8"/>
  <c r="R311" i="8"/>
  <c r="R324" i="8"/>
  <c r="R304" i="8"/>
  <c r="R135" i="8" s="1"/>
  <c r="R338" i="8"/>
  <c r="R331" i="8"/>
  <c r="R335" i="8"/>
  <c r="R316" i="8"/>
  <c r="R343" i="8"/>
  <c r="R353" i="8"/>
  <c r="R328" i="8"/>
  <c r="R320" i="8"/>
  <c r="R339" i="8"/>
  <c r="R351" i="8"/>
  <c r="R373" i="8"/>
  <c r="R314" i="8"/>
  <c r="R364" i="8"/>
  <c r="R334" i="8"/>
  <c r="R310" i="8"/>
  <c r="R370" i="8"/>
  <c r="R346" i="8"/>
  <c r="R341" i="8"/>
  <c r="R366" i="8"/>
  <c r="R349" i="8"/>
  <c r="R359" i="8"/>
  <c r="R306" i="8"/>
  <c r="R326" i="8"/>
  <c r="R348" i="8"/>
  <c r="R375" i="8"/>
  <c r="R342" i="8"/>
  <c r="R312" i="8"/>
  <c r="R362" i="8"/>
  <c r="R315" i="8"/>
  <c r="R358" i="8"/>
  <c r="R360" i="8"/>
  <c r="R337" i="8"/>
  <c r="R333" i="8"/>
  <c r="R336" i="8"/>
  <c r="R374" i="8"/>
  <c r="R330" i="8"/>
  <c r="R323" i="8"/>
  <c r="R313" i="8"/>
  <c r="R329" i="8"/>
  <c r="R322" i="8"/>
  <c r="R340" i="8"/>
  <c r="R369" i="8"/>
  <c r="R308" i="8"/>
  <c r="R356" i="8"/>
  <c r="R327" i="8"/>
  <c r="R367" i="8"/>
  <c r="R345" i="8"/>
  <c r="R357" i="8"/>
  <c r="R309" i="8"/>
  <c r="Z160" i="8"/>
  <c r="Z190" i="8"/>
  <c r="Z192" i="8"/>
  <c r="Z172" i="8"/>
  <c r="Z222" i="8"/>
  <c r="Z210" i="8"/>
  <c r="Z156" i="8"/>
  <c r="Z193" i="8"/>
  <c r="Z155" i="8"/>
  <c r="Z221" i="8"/>
  <c r="Z209" i="8"/>
  <c r="Z173" i="8"/>
  <c r="Z183" i="8"/>
  <c r="Z180" i="8"/>
  <c r="Z214" i="8"/>
  <c r="Z211" i="8"/>
  <c r="Z159" i="8"/>
  <c r="Z205" i="8"/>
  <c r="Z186" i="8"/>
  <c r="Z184" i="8"/>
  <c r="Z178" i="8"/>
  <c r="Z174" i="8"/>
  <c r="Z189" i="8"/>
  <c r="Z175" i="8"/>
  <c r="Z224" i="8"/>
  <c r="Z217" i="8"/>
  <c r="Z195" i="8"/>
  <c r="Z185" i="8"/>
  <c r="Z164" i="8"/>
  <c r="Z169" i="8"/>
  <c r="Z197" i="8"/>
  <c r="Z171" i="8"/>
  <c r="Z157" i="8"/>
  <c r="Z176" i="8"/>
  <c r="Z220" i="8"/>
  <c r="Z165" i="8"/>
  <c r="Z226" i="8"/>
  <c r="Z202" i="8"/>
  <c r="Z168" i="8"/>
  <c r="Z204" i="8"/>
  <c r="Z177" i="8"/>
  <c r="Z191" i="8"/>
  <c r="Z134" i="8" s="1"/>
  <c r="Z212" i="8"/>
  <c r="Z181" i="8"/>
  <c r="Z206" i="8"/>
  <c r="Z194" i="8"/>
  <c r="Z198" i="8"/>
  <c r="Z200" i="8"/>
  <c r="Z182" i="8"/>
  <c r="Z207" i="8"/>
  <c r="Z167" i="8"/>
  <c r="Z215" i="8"/>
  <c r="Z162" i="8"/>
  <c r="Z166" i="8"/>
  <c r="Z218" i="8"/>
  <c r="Z179" i="8"/>
  <c r="Z199" i="8"/>
  <c r="Z163" i="8"/>
  <c r="Z188" i="8"/>
  <c r="Z158" i="8"/>
  <c r="Z225" i="8"/>
  <c r="Z227" i="8"/>
  <c r="Z219" i="8"/>
  <c r="Z196" i="8"/>
  <c r="Z187" i="8"/>
  <c r="Z201" i="8"/>
  <c r="Z203" i="8"/>
  <c r="Z216" i="8"/>
  <c r="Z223" i="8"/>
  <c r="Z213" i="8"/>
  <c r="Z161" i="8"/>
  <c r="Z208" i="8"/>
  <c r="Z170" i="8"/>
  <c r="R199" i="8"/>
  <c r="R179" i="8"/>
  <c r="R187" i="8"/>
  <c r="R204" i="8"/>
  <c r="R205" i="8"/>
  <c r="R188" i="8"/>
  <c r="R213" i="8"/>
  <c r="R165" i="8"/>
  <c r="R162" i="8"/>
  <c r="R157" i="8"/>
  <c r="R161" i="8"/>
  <c r="R189" i="8"/>
  <c r="R214" i="8"/>
  <c r="R186" i="8"/>
  <c r="R168" i="8"/>
  <c r="R155" i="8"/>
  <c r="R210" i="8"/>
  <c r="R158" i="8"/>
  <c r="R197" i="8"/>
  <c r="R224" i="8"/>
  <c r="R170" i="8"/>
  <c r="R211" i="8"/>
  <c r="R208" i="8"/>
  <c r="R226" i="8"/>
  <c r="R195" i="8"/>
  <c r="R201" i="8"/>
  <c r="R220" i="8"/>
  <c r="R212" i="8"/>
  <c r="R177" i="8"/>
  <c r="R159" i="8"/>
  <c r="R206" i="8"/>
  <c r="R169" i="8"/>
  <c r="R173" i="8"/>
  <c r="R200" i="8"/>
  <c r="R227" i="8"/>
  <c r="R215" i="8"/>
  <c r="R192" i="8"/>
  <c r="R178" i="8"/>
  <c r="R182" i="8"/>
  <c r="R209" i="8"/>
  <c r="R202" i="8"/>
  <c r="R216" i="8"/>
  <c r="R191" i="8"/>
  <c r="R134" i="8" s="1"/>
  <c r="R174" i="8"/>
  <c r="R163" i="8"/>
  <c r="R166" i="8"/>
  <c r="R194" i="8"/>
  <c r="R218" i="8"/>
  <c r="R223" i="8"/>
  <c r="R183" i="8"/>
  <c r="R193" i="8"/>
  <c r="R217" i="8"/>
  <c r="R167" i="8"/>
  <c r="R176" i="8"/>
  <c r="R181" i="8"/>
  <c r="R190" i="8"/>
  <c r="R160" i="8"/>
  <c r="R207" i="8"/>
  <c r="R185" i="8"/>
  <c r="R180" i="8"/>
  <c r="R175" i="8"/>
  <c r="R156" i="8"/>
  <c r="R219" i="8"/>
  <c r="R196" i="8"/>
  <c r="R221" i="8"/>
  <c r="R198" i="8"/>
  <c r="R172" i="8"/>
  <c r="R203" i="8"/>
  <c r="R164" i="8"/>
  <c r="R222" i="8"/>
  <c r="R184" i="8"/>
  <c r="R171" i="8"/>
  <c r="R225" i="8"/>
  <c r="R113" i="8"/>
  <c r="R111" i="8"/>
  <c r="Z108" i="8"/>
  <c r="Z106" i="8"/>
  <c r="Z124" i="8"/>
  <c r="Z114" i="8"/>
  <c r="Z71" i="8"/>
  <c r="Z100" i="8"/>
  <c r="Z94" i="8"/>
  <c r="Z77" i="8"/>
  <c r="Z97" i="8"/>
  <c r="Z130" i="8"/>
  <c r="T114" i="8"/>
  <c r="T124" i="8"/>
  <c r="T106" i="8"/>
  <c r="T130" i="8"/>
  <c r="T100" i="8"/>
  <c r="T94" i="8"/>
  <c r="T71" i="8"/>
  <c r="T97" i="8"/>
  <c r="T77" i="8"/>
  <c r="T108" i="8"/>
  <c r="T167" i="8"/>
  <c r="T191" i="8"/>
  <c r="T134" i="8" s="1"/>
  <c r="T180" i="8"/>
  <c r="T193" i="8"/>
  <c r="T161" i="8"/>
  <c r="T195" i="8"/>
  <c r="T173" i="8"/>
  <c r="T156" i="8"/>
  <c r="T163" i="8"/>
  <c r="T187" i="8"/>
  <c r="T197" i="8"/>
  <c r="T226" i="8"/>
  <c r="T175" i="8"/>
  <c r="T170" i="8"/>
  <c r="T181" i="8"/>
  <c r="T184" i="8"/>
  <c r="T212" i="8"/>
  <c r="T203" i="8"/>
  <c r="T201" i="8"/>
  <c r="T220" i="8"/>
  <c r="T176" i="8"/>
  <c r="T169" i="8"/>
  <c r="T208" i="8"/>
  <c r="T224" i="8"/>
  <c r="T210" i="8"/>
  <c r="T160" i="8"/>
  <c r="T223" i="8"/>
  <c r="T172" i="8"/>
  <c r="T164" i="8"/>
  <c r="T222" i="8"/>
  <c r="T205" i="8"/>
  <c r="T213" i="8"/>
  <c r="T217" i="8"/>
  <c r="T183" i="8"/>
  <c r="T202" i="8"/>
  <c r="T157" i="8"/>
  <c r="T196" i="8"/>
  <c r="T162" i="8"/>
  <c r="T207" i="8"/>
  <c r="T182" i="8"/>
  <c r="T190" i="8"/>
  <c r="T206" i="8"/>
  <c r="T218" i="8"/>
  <c r="T165" i="8"/>
  <c r="T225" i="8"/>
  <c r="T215" i="8"/>
  <c r="T155" i="8"/>
  <c r="T221" i="8"/>
  <c r="T177" i="8"/>
  <c r="T200" i="8"/>
  <c r="T227" i="8"/>
  <c r="T179" i="8"/>
  <c r="T198" i="8"/>
  <c r="T178" i="8"/>
  <c r="T209" i="8"/>
  <c r="T214" i="8"/>
  <c r="T158" i="8"/>
  <c r="T166" i="8"/>
  <c r="T159" i="8"/>
  <c r="T219" i="8"/>
  <c r="T194" i="8"/>
  <c r="T171" i="8"/>
  <c r="T192" i="8"/>
  <c r="T174" i="8"/>
  <c r="T216" i="8"/>
  <c r="T168" i="8"/>
  <c r="T199" i="8"/>
  <c r="T211" i="8"/>
  <c r="T188" i="8"/>
  <c r="T204" i="8"/>
  <c r="T189" i="8"/>
  <c r="T186" i="8"/>
  <c r="T185" i="8"/>
  <c r="R100" i="8"/>
  <c r="R77" i="8"/>
  <c r="R108" i="8"/>
  <c r="R130" i="8"/>
  <c r="R114" i="8"/>
  <c r="R94" i="8"/>
  <c r="R124" i="8"/>
  <c r="R71" i="8"/>
  <c r="R106" i="8"/>
  <c r="R97" i="8"/>
  <c r="P118" i="8" l="1"/>
  <c r="P116" i="8"/>
  <c r="P119" i="8"/>
  <c r="P117" i="8"/>
  <c r="P111" i="8"/>
  <c r="P113" i="8"/>
  <c r="P110" i="8"/>
  <c r="P112" i="8"/>
  <c r="L110" i="8"/>
  <c r="Z117" i="8"/>
  <c r="Z111" i="8"/>
  <c r="T117" i="8"/>
  <c r="M20" i="8"/>
  <c r="N31" i="8" s="1"/>
  <c r="N95" i="8" s="1"/>
  <c r="L23" i="4"/>
  <c r="L19" i="8"/>
  <c r="L85" i="8"/>
  <c r="L32" i="4"/>
  <c r="L32" i="8"/>
  <c r="L94" i="8"/>
  <c r="L45" i="8"/>
  <c r="T113" i="8"/>
  <c r="T111" i="8"/>
  <c r="R119" i="8"/>
  <c r="H110" i="8"/>
  <c r="H112" i="8"/>
  <c r="H116" i="8"/>
  <c r="H118" i="8"/>
  <c r="H117" i="8"/>
  <c r="H119" i="8"/>
  <c r="H111" i="8"/>
  <c r="H113" i="8"/>
  <c r="L117" i="8"/>
  <c r="M29" i="8"/>
  <c r="L93" i="8"/>
  <c r="L27" i="8"/>
  <c r="M26" i="8"/>
  <c r="L90" i="8"/>
  <c r="N15" i="4"/>
  <c r="N46" i="4"/>
  <c r="N6" i="8"/>
  <c r="N7" i="8"/>
  <c r="N9" i="8"/>
  <c r="N74" i="8" s="1"/>
  <c r="L46" i="8"/>
  <c r="L120" i="8"/>
  <c r="Z118" i="8"/>
  <c r="Z116" i="8"/>
  <c r="Z112" i="8"/>
  <c r="Z110" i="8"/>
  <c r="R116" i="8"/>
  <c r="R118" i="8"/>
  <c r="R112" i="8"/>
  <c r="R110" i="8"/>
  <c r="T116" i="8"/>
  <c r="T118" i="8"/>
  <c r="T112" i="8"/>
  <c r="T110" i="8"/>
  <c r="N14" i="4" l="1"/>
  <c r="N33" i="4" s="1"/>
  <c r="N11" i="8"/>
  <c r="N33" i="8"/>
  <c r="N41" i="8" s="1"/>
  <c r="N23" i="8"/>
  <c r="N27" i="4" s="1"/>
  <c r="N24" i="8"/>
  <c r="N88" i="8" s="1"/>
  <c r="N18" i="8"/>
  <c r="N19" i="8" s="1"/>
  <c r="N12" i="8"/>
  <c r="N79" i="8" s="1"/>
  <c r="N10" i="8"/>
  <c r="N75" i="8" s="1"/>
  <c r="N17" i="8"/>
  <c r="N84" i="8" s="1"/>
  <c r="N30" i="8"/>
  <c r="N94" i="8" s="1"/>
  <c r="N13" i="8"/>
  <c r="N80" i="8" s="1"/>
  <c r="N16" i="8"/>
  <c r="N83" i="8" s="1"/>
  <c r="N14" i="8"/>
  <c r="N15" i="8" s="1"/>
  <c r="N82" i="8" s="1"/>
  <c r="N8" i="8"/>
  <c r="N73" i="8" s="1"/>
  <c r="N32" i="8"/>
  <c r="N97" i="8" s="1"/>
  <c r="L97" i="8"/>
  <c r="L54" i="8"/>
  <c r="L124" i="8" s="1"/>
  <c r="L34" i="8"/>
  <c r="L100" i="8" s="1"/>
  <c r="L40" i="8"/>
  <c r="L53" i="4" s="1"/>
  <c r="L60" i="8"/>
  <c r="L130" i="8" s="1"/>
  <c r="L86" i="8"/>
  <c r="L29" i="4"/>
  <c r="L28" i="4"/>
  <c r="L326" i="8"/>
  <c r="L372" i="8"/>
  <c r="L350" i="8"/>
  <c r="L361" i="8"/>
  <c r="L313" i="8"/>
  <c r="L319" i="8"/>
  <c r="L357" i="8"/>
  <c r="L371" i="8"/>
  <c r="L346" i="8"/>
  <c r="L375" i="8"/>
  <c r="L358" i="8"/>
  <c r="L360" i="8"/>
  <c r="L311" i="8"/>
  <c r="L305" i="8"/>
  <c r="L310" i="8"/>
  <c r="L354" i="8"/>
  <c r="L347" i="8"/>
  <c r="L363" i="8"/>
  <c r="L356" i="8"/>
  <c r="L376" i="8"/>
  <c r="L309" i="8"/>
  <c r="L332" i="8"/>
  <c r="L343" i="8"/>
  <c r="L324" i="8"/>
  <c r="L323" i="8"/>
  <c r="L315" i="8"/>
  <c r="L321" i="8"/>
  <c r="L306" i="8"/>
  <c r="L331" i="8"/>
  <c r="L348" i="8"/>
  <c r="L304" i="8"/>
  <c r="L135" i="8" s="1"/>
  <c r="L367" i="8"/>
  <c r="L352" i="8"/>
  <c r="L325" i="8"/>
  <c r="L327" i="8"/>
  <c r="L339" i="8"/>
  <c r="L307" i="8"/>
  <c r="L368" i="8"/>
  <c r="L342" i="8"/>
  <c r="L344" i="8"/>
  <c r="L329" i="8"/>
  <c r="L370" i="8"/>
  <c r="L366" i="8"/>
  <c r="L341" i="8"/>
  <c r="L318" i="8"/>
  <c r="L336" i="8"/>
  <c r="L345" i="8"/>
  <c r="L353" i="8"/>
  <c r="L349" i="8"/>
  <c r="L322" i="8"/>
  <c r="L359" i="8"/>
  <c r="L337" i="8"/>
  <c r="L351" i="8"/>
  <c r="L365" i="8"/>
  <c r="L312" i="8"/>
  <c r="L333" i="8"/>
  <c r="L338" i="8"/>
  <c r="L328" i="8"/>
  <c r="L374" i="8"/>
  <c r="L320" i="8"/>
  <c r="L369" i="8"/>
  <c r="L362" i="8"/>
  <c r="L373" i="8"/>
  <c r="L316" i="8"/>
  <c r="L364" i="8"/>
  <c r="L330" i="8"/>
  <c r="L314" i="8"/>
  <c r="L335" i="8"/>
  <c r="L308" i="8"/>
  <c r="L317" i="8"/>
  <c r="L334" i="8"/>
  <c r="L355" i="8"/>
  <c r="L340" i="8"/>
  <c r="M27" i="8"/>
  <c r="N26" i="8" s="1"/>
  <c r="N90" i="8" s="1"/>
  <c r="L91" i="8"/>
  <c r="N51" i="8"/>
  <c r="N13" i="4"/>
  <c r="N78" i="8"/>
  <c r="N76" i="8"/>
  <c r="N43" i="8"/>
  <c r="N108" i="8" s="1"/>
  <c r="N31" i="4"/>
  <c r="N71" i="8"/>
  <c r="N19" i="4"/>
  <c r="N69" i="8"/>
  <c r="N20" i="4"/>
  <c r="N61" i="8"/>
  <c r="N131" i="8" s="1"/>
  <c r="N98" i="8"/>
  <c r="N35" i="8"/>
  <c r="N101" i="8" s="1"/>
  <c r="N29" i="8"/>
  <c r="N93" i="8" s="1"/>
  <c r="N28" i="8"/>
  <c r="N92" i="8" s="1"/>
  <c r="N21" i="8"/>
  <c r="N21" i="4"/>
  <c r="N70" i="8"/>
  <c r="N44" i="8"/>
  <c r="N109" i="8" s="1"/>
  <c r="N72" i="8"/>
  <c r="L54" i="4"/>
  <c r="L52" i="4"/>
  <c r="L114" i="8"/>
  <c r="N87" i="8" l="1"/>
  <c r="N55" i="8"/>
  <c r="N125" i="8" s="1"/>
  <c r="N85" i="8"/>
  <c r="N306" i="8" s="1"/>
  <c r="N12" i="4"/>
  <c r="N32" i="4"/>
  <c r="N77" i="8"/>
  <c r="N27" i="8"/>
  <c r="N91" i="8" s="1"/>
  <c r="N30" i="4"/>
  <c r="N22" i="4"/>
  <c r="N23" i="4"/>
  <c r="N81" i="8"/>
  <c r="N443" i="8" s="1"/>
  <c r="N54" i="8"/>
  <c r="N124" i="8" s="1"/>
  <c r="N34" i="8"/>
  <c r="N100" i="8" s="1"/>
  <c r="N40" i="8"/>
  <c r="N55" i="4" s="1"/>
  <c r="N60" i="8"/>
  <c r="N130" i="8" s="1"/>
  <c r="L56" i="4"/>
  <c r="L55" i="4"/>
  <c r="L57" i="4"/>
  <c r="L50" i="4"/>
  <c r="L106" i="8"/>
  <c r="N24" i="4"/>
  <c r="N110" i="8"/>
  <c r="N112" i="8"/>
  <c r="L118" i="8"/>
  <c r="L116" i="8"/>
  <c r="N111" i="8"/>
  <c r="N113" i="8"/>
  <c r="N311" i="8"/>
  <c r="N307" i="8"/>
  <c r="N309" i="8"/>
  <c r="N361" i="8"/>
  <c r="N370" i="8"/>
  <c r="N322" i="8"/>
  <c r="N325" i="8"/>
  <c r="N316" i="8"/>
  <c r="N354" i="8"/>
  <c r="N355" i="8"/>
  <c r="N365" i="8"/>
  <c r="N330" i="8"/>
  <c r="N343" i="8"/>
  <c r="N86" i="8"/>
  <c r="N29" i="4"/>
  <c r="N28" i="4"/>
  <c r="N51" i="4"/>
  <c r="N107" i="8"/>
  <c r="N45" i="8"/>
  <c r="N22" i="8"/>
  <c r="N50" i="8" s="1"/>
  <c r="N373" i="8" l="1"/>
  <c r="N349" i="8"/>
  <c r="N375" i="8"/>
  <c r="N364" i="8"/>
  <c r="N334" i="8"/>
  <c r="N338" i="8"/>
  <c r="N333" i="8"/>
  <c r="N345" i="8"/>
  <c r="N367" i="8"/>
  <c r="N308" i="8"/>
  <c r="N335" i="8"/>
  <c r="N341" i="8"/>
  <c r="N331" i="8"/>
  <c r="N357" i="8"/>
  <c r="N321" i="8"/>
  <c r="N318" i="8"/>
  <c r="N340" i="8"/>
  <c r="N323" i="8"/>
  <c r="N352" i="8"/>
  <c r="N346" i="8"/>
  <c r="N342" i="8"/>
  <c r="N317" i="8"/>
  <c r="N329" i="8"/>
  <c r="N362" i="8"/>
  <c r="N305" i="8"/>
  <c r="N353" i="8"/>
  <c r="N359" i="8"/>
  <c r="N315" i="8"/>
  <c r="N313" i="8"/>
  <c r="N374" i="8"/>
  <c r="N319" i="8"/>
  <c r="N344" i="8"/>
  <c r="N372" i="8"/>
  <c r="N351" i="8"/>
  <c r="N336" i="8"/>
  <c r="N327" i="8"/>
  <c r="N348" i="8"/>
  <c r="N350" i="8"/>
  <c r="N326" i="8"/>
  <c r="N369" i="8"/>
  <c r="N328" i="8"/>
  <c r="N314" i="8"/>
  <c r="N368" i="8"/>
  <c r="N337" i="8"/>
  <c r="N310" i="8"/>
  <c r="N312" i="8"/>
  <c r="N332" i="8"/>
  <c r="N347" i="8"/>
  <c r="N356" i="8"/>
  <c r="N360" i="8"/>
  <c r="N320" i="8"/>
  <c r="N324" i="8"/>
  <c r="N371" i="8"/>
  <c r="N339" i="8"/>
  <c r="N304" i="8"/>
  <c r="N135" i="8" s="1"/>
  <c r="N358" i="8"/>
  <c r="N366" i="8"/>
  <c r="N363" i="8"/>
  <c r="N376" i="8"/>
  <c r="N429" i="8"/>
  <c r="N427" i="8"/>
  <c r="N449" i="8"/>
  <c r="N426" i="8"/>
  <c r="N412" i="8"/>
  <c r="N436" i="8"/>
  <c r="N57" i="4"/>
  <c r="N403" i="8"/>
  <c r="N395" i="8"/>
  <c r="N447" i="8"/>
  <c r="N430" i="8"/>
  <c r="N425" i="8"/>
  <c r="N416" i="8"/>
  <c r="N410" i="8"/>
  <c r="N414" i="8"/>
  <c r="N394" i="8"/>
  <c r="N390" i="8"/>
  <c r="N440" i="8"/>
  <c r="N381" i="8"/>
  <c r="N423" i="8"/>
  <c r="N431" i="8"/>
  <c r="N407" i="8"/>
  <c r="N378" i="8"/>
  <c r="N391" i="8"/>
  <c r="N382" i="8"/>
  <c r="N421" i="8"/>
  <c r="N448" i="8"/>
  <c r="N418" i="8"/>
  <c r="N387" i="8"/>
  <c r="N446" i="8"/>
  <c r="N409" i="8"/>
  <c r="N398" i="8"/>
  <c r="N434" i="8"/>
  <c r="N445" i="8"/>
  <c r="N383" i="8"/>
  <c r="N400" i="8"/>
  <c r="N402" i="8"/>
  <c r="N408" i="8"/>
  <c r="N406" i="8"/>
  <c r="N439" i="8"/>
  <c r="N397" i="8"/>
  <c r="N392" i="8"/>
  <c r="N411" i="8"/>
  <c r="N442" i="8"/>
  <c r="N388" i="8"/>
  <c r="N450" i="8"/>
  <c r="N401" i="8"/>
  <c r="N438" i="8"/>
  <c r="N428" i="8"/>
  <c r="N393" i="8"/>
  <c r="N444" i="8"/>
  <c r="N405" i="8"/>
  <c r="N441" i="8"/>
  <c r="N437" i="8"/>
  <c r="N385" i="8"/>
  <c r="N424" i="8"/>
  <c r="N433" i="8"/>
  <c r="N435" i="8"/>
  <c r="N415" i="8"/>
  <c r="N389" i="8"/>
  <c r="N419" i="8"/>
  <c r="N413" i="8"/>
  <c r="N384" i="8"/>
  <c r="N420" i="8"/>
  <c r="N422" i="8"/>
  <c r="N386" i="8"/>
  <c r="N432" i="8"/>
  <c r="N399" i="8"/>
  <c r="N404" i="8"/>
  <c r="N396" i="8"/>
  <c r="N106" i="8"/>
  <c r="N50" i="4"/>
  <c r="N56" i="4"/>
  <c r="N417" i="8"/>
  <c r="N380" i="8"/>
  <c r="N379" i="8"/>
  <c r="N49" i="8"/>
  <c r="N48" i="8" l="1"/>
  <c r="N47" i="8"/>
  <c r="N115" i="8" s="1"/>
  <c r="N121" i="8"/>
  <c r="N119" i="8" l="1"/>
  <c r="N117" i="8"/>
  <c r="N46" i="8"/>
  <c r="N120" i="8"/>
  <c r="N53" i="4" l="1"/>
  <c r="N54" i="4"/>
  <c r="N52" i="4"/>
  <c r="N114" i="8"/>
  <c r="N116" i="8" l="1"/>
  <c r="N118" i="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<sst xmlns="http://schemas.openxmlformats.org/spreadsheetml/2006/main" count="899" uniqueCount="509">
  <si>
    <t>Ax</t>
  </si>
  <si>
    <t>Ax plot</t>
  </si>
  <si>
    <t>Ay plot</t>
  </si>
  <si>
    <t>Bx</t>
  </si>
  <si>
    <t>Bx plot</t>
  </si>
  <si>
    <t>By</t>
  </si>
  <si>
    <t>By plot</t>
  </si>
  <si>
    <t>Nx</t>
  </si>
  <si>
    <t>Nx plot</t>
  </si>
  <si>
    <t>Ny</t>
  </si>
  <si>
    <t>Ny plot</t>
  </si>
  <si>
    <t>Cx</t>
  </si>
  <si>
    <t>Cx plot</t>
  </si>
  <si>
    <t>Dx</t>
  </si>
  <si>
    <t>Dx plot</t>
  </si>
  <si>
    <t>Dy</t>
  </si>
  <si>
    <t>Dy plot</t>
  </si>
  <si>
    <t>Ex</t>
  </si>
  <si>
    <t>Ex plot</t>
  </si>
  <si>
    <t>Ey</t>
  </si>
  <si>
    <t>Ey plot</t>
  </si>
  <si>
    <t>Fx</t>
  </si>
  <si>
    <t>Fx plot</t>
  </si>
  <si>
    <t>Fy</t>
  </si>
  <si>
    <t>Fy plot</t>
  </si>
  <si>
    <t>Gx</t>
  </si>
  <si>
    <t>Gx plot</t>
  </si>
  <si>
    <t>Gy</t>
  </si>
  <si>
    <t>Gy plot</t>
  </si>
  <si>
    <t>Hx</t>
  </si>
  <si>
    <t>Hx plot</t>
  </si>
  <si>
    <t>Hy</t>
  </si>
  <si>
    <t>Hy plot</t>
  </si>
  <si>
    <t>Steering axis x at grip height</t>
  </si>
  <si>
    <t>mid saddle x</t>
  </si>
  <si>
    <t>mid saddle y</t>
  </si>
  <si>
    <t>Cy</t>
  </si>
  <si>
    <t>Cy plot</t>
  </si>
  <si>
    <t>mASA</t>
  </si>
  <si>
    <t>Ay</t>
  </si>
  <si>
    <t>Rx</t>
  </si>
  <si>
    <t>Ry</t>
  </si>
  <si>
    <t>Ky</t>
  </si>
  <si>
    <t>Kx</t>
  </si>
  <si>
    <t>bASA</t>
  </si>
  <si>
    <t>Jy</t>
  </si>
  <si>
    <t>Jx</t>
  </si>
  <si>
    <t>Ix</t>
  </si>
  <si>
    <t>Condition on seat angles</t>
  </si>
  <si>
    <t>Iy</t>
  </si>
  <si>
    <t>Mx</t>
  </si>
  <si>
    <t>My</t>
  </si>
  <si>
    <t>Px</t>
  </si>
  <si>
    <t>Py</t>
  </si>
  <si>
    <t>rotangle</t>
  </si>
  <si>
    <t>-</t>
  </si>
  <si>
    <t>N</t>
  </si>
  <si>
    <t>Jx plot</t>
  </si>
  <si>
    <t>Jy plot</t>
  </si>
  <si>
    <t>Mx plot</t>
  </si>
  <si>
    <t>My plot</t>
  </si>
  <si>
    <t>Ix plot</t>
  </si>
  <si>
    <t>Iy plot</t>
  </si>
  <si>
    <t>Kx plot</t>
  </si>
  <si>
    <t>Ky plot</t>
  </si>
  <si>
    <t>Px plot</t>
  </si>
  <si>
    <t>Py plot</t>
  </si>
  <si>
    <t>Rx plot</t>
  </si>
  <si>
    <t>Ry plot</t>
  </si>
  <si>
    <t>Ox placeholder orthogonal x</t>
  </si>
  <si>
    <t>Oy placeholder orthogonal y</t>
  </si>
  <si>
    <t>bar rotated knuckle x (Qx)</t>
  </si>
  <si>
    <t>bar rotated knuckle y (Qy)</t>
  </si>
  <si>
    <t>Ox rotated x</t>
  </si>
  <si>
    <t>Oy rotated y</t>
  </si>
  <si>
    <t>seatpost top at ride height x</t>
  </si>
  <si>
    <t>seat post top at ride height y</t>
  </si>
  <si>
    <t>Y</t>
  </si>
  <si>
    <t>Display on/off</t>
  </si>
  <si>
    <t>Display alignment</t>
  </si>
  <si>
    <t>Rear Tire on Ground</t>
  </si>
  <si>
    <t>Rear Axle</t>
  </si>
  <si>
    <t>Bottom Bracket</t>
  </si>
  <si>
    <t>Saddle</t>
  </si>
  <si>
    <t>+/- Reach Adjust Headset (mm)</t>
  </si>
  <si>
    <t>+/- Angle Headset (°)</t>
  </si>
  <si>
    <t>+/- Lower Headset Cup (mm)</t>
  </si>
  <si>
    <t>+/- Rear Center Length (mm)</t>
  </si>
  <si>
    <t>Mfg rear dimension method</t>
  </si>
  <si>
    <t>Chainstay Length</t>
  </si>
  <si>
    <t>Rear Center Length</t>
  </si>
  <si>
    <t>N/A</t>
  </si>
  <si>
    <t>Tire Diameter Estimator</t>
  </si>
  <si>
    <t>Tire Sizes</t>
  </si>
  <si>
    <t>29 (700C)</t>
  </si>
  <si>
    <t>27.5 (650b)</t>
  </si>
  <si>
    <t>Wheel Size</t>
  </si>
  <si>
    <t>End grip x orthogonal</t>
  </si>
  <si>
    <t>End grip y orthogonal</t>
  </si>
  <si>
    <t>End grip x rotated</t>
  </si>
  <si>
    <t>End grip y rotated</t>
  </si>
  <si>
    <t>Oz rotated z</t>
  </si>
  <si>
    <t>Start of grip x orthogonal</t>
  </si>
  <si>
    <t>Start of grip y orthogonal</t>
  </si>
  <si>
    <t>Start of grip x rotated</t>
  </si>
  <si>
    <t>Start of grip y rotated</t>
  </si>
  <si>
    <t>x plot alignment</t>
  </si>
  <si>
    <t>y plot alignment</t>
  </si>
  <si>
    <t>Condition on seat angles plot</t>
  </si>
  <si>
    <t>bar rotated knuckle x (Qx) plot</t>
  </si>
  <si>
    <t>bar rotated knuckle y (Qy) plot</t>
  </si>
  <si>
    <t>Ox placeholder orthogonal x plot</t>
  </si>
  <si>
    <t>Oy placeholder orthogonal y plot</t>
  </si>
  <si>
    <t>Ox rotated x plot</t>
  </si>
  <si>
    <t>Oy rotated y plot</t>
  </si>
  <si>
    <t>mid saddle x plot</t>
  </si>
  <si>
    <t>mid saddle y plot</t>
  </si>
  <si>
    <t>End grip x orthogonal plot</t>
  </si>
  <si>
    <t>End grip y orthogonal plot</t>
  </si>
  <si>
    <t>End grip x rotated plot</t>
  </si>
  <si>
    <t>End grip y rotated plot</t>
  </si>
  <si>
    <t>Start of grip x orthogonal plot</t>
  </si>
  <si>
    <t>Start of grip y orthogonal plot</t>
  </si>
  <si>
    <t>Start of grip x rotated plot</t>
  </si>
  <si>
    <t>Start of grip y rotated plot</t>
  </si>
  <si>
    <t>Rear tire</t>
  </si>
  <si>
    <t>0 x</t>
  </si>
  <si>
    <t>15 x</t>
  </si>
  <si>
    <t>30 x</t>
  </si>
  <si>
    <t>45 x</t>
  </si>
  <si>
    <t>60 x</t>
  </si>
  <si>
    <t>75 x</t>
  </si>
  <si>
    <t>90 x</t>
  </si>
  <si>
    <t>105 x</t>
  </si>
  <si>
    <t>120 x</t>
  </si>
  <si>
    <t>135 x</t>
  </si>
  <si>
    <t>150 x</t>
  </si>
  <si>
    <t>165 x</t>
  </si>
  <si>
    <t>180 x</t>
  </si>
  <si>
    <t>195 x</t>
  </si>
  <si>
    <t>210 x</t>
  </si>
  <si>
    <t>225 x</t>
  </si>
  <si>
    <t>240 x</t>
  </si>
  <si>
    <t>255 x</t>
  </si>
  <si>
    <t>270 x</t>
  </si>
  <si>
    <t>285 x</t>
  </si>
  <si>
    <t>300 x</t>
  </si>
  <si>
    <t>315 x</t>
  </si>
  <si>
    <t>330 x</t>
  </si>
  <si>
    <t>345 x</t>
  </si>
  <si>
    <t>360 x</t>
  </si>
  <si>
    <t>0 y</t>
  </si>
  <si>
    <t>15 y</t>
  </si>
  <si>
    <t>30 y</t>
  </si>
  <si>
    <t>45 y</t>
  </si>
  <si>
    <t>60 y</t>
  </si>
  <si>
    <t>75 y</t>
  </si>
  <si>
    <t>90 y</t>
  </si>
  <si>
    <t>105 y</t>
  </si>
  <si>
    <t>120 y</t>
  </si>
  <si>
    <t>135 y</t>
  </si>
  <si>
    <t>150 y</t>
  </si>
  <si>
    <t>165 y</t>
  </si>
  <si>
    <t>180 y</t>
  </si>
  <si>
    <t>195 y</t>
  </si>
  <si>
    <t>210 y</t>
  </si>
  <si>
    <t>225 y</t>
  </si>
  <si>
    <t>240 y</t>
  </si>
  <si>
    <t>255 y</t>
  </si>
  <si>
    <t>270 y</t>
  </si>
  <si>
    <t>285 y</t>
  </si>
  <si>
    <t>300 y</t>
  </si>
  <si>
    <t>315 y</t>
  </si>
  <si>
    <t>330 y</t>
  </si>
  <si>
    <t>345 y</t>
  </si>
  <si>
    <t>360 y</t>
  </si>
  <si>
    <t>Front tire</t>
  </si>
  <si>
    <t>Px plot front</t>
  </si>
  <si>
    <t>Py plot front</t>
  </si>
  <si>
    <t>Px plot rear</t>
  </si>
  <si>
    <t>Py plot rear</t>
  </si>
  <si>
    <t>front saddle x plot</t>
  </si>
  <si>
    <t>front saddle y plot</t>
  </si>
  <si>
    <t>rear saddle x plot</t>
  </si>
  <si>
    <t>rear saddle y plot</t>
  </si>
  <si>
    <t>1m temp</t>
  </si>
  <si>
    <t>1m</t>
  </si>
  <si>
    <t>2m temp</t>
  </si>
  <si>
    <t>2m</t>
  </si>
  <si>
    <t>3m temp</t>
  </si>
  <si>
    <t>3m</t>
  </si>
  <si>
    <t>4m temp</t>
  </si>
  <si>
    <t>4m</t>
  </si>
  <si>
    <t>5m temp</t>
  </si>
  <si>
    <t>5m</t>
  </si>
  <si>
    <t>For plotting</t>
  </si>
  <si>
    <t>5 x</t>
  </si>
  <si>
    <t>10 x</t>
  </si>
  <si>
    <t>20 x</t>
  </si>
  <si>
    <t>25 x</t>
  </si>
  <si>
    <t>35 x</t>
  </si>
  <si>
    <t>40 x</t>
  </si>
  <si>
    <t>50 x</t>
  </si>
  <si>
    <t>55 x</t>
  </si>
  <si>
    <t>65 x</t>
  </si>
  <si>
    <t>70 x</t>
  </si>
  <si>
    <t>80 x</t>
  </si>
  <si>
    <t>85 x</t>
  </si>
  <si>
    <t>95 x</t>
  </si>
  <si>
    <t>100 x</t>
  </si>
  <si>
    <t>110 x</t>
  </si>
  <si>
    <t>115 x</t>
  </si>
  <si>
    <t>125 x</t>
  </si>
  <si>
    <t>130 x</t>
  </si>
  <si>
    <t>140 x</t>
  </si>
  <si>
    <t>145 x</t>
  </si>
  <si>
    <t>155 x</t>
  </si>
  <si>
    <t>160 x</t>
  </si>
  <si>
    <t>170 x</t>
  </si>
  <si>
    <t>175 x</t>
  </si>
  <si>
    <t>185 x</t>
  </si>
  <si>
    <t>190 x</t>
  </si>
  <si>
    <t>200 x</t>
  </si>
  <si>
    <t>205 x</t>
  </si>
  <si>
    <t>215 x</t>
  </si>
  <si>
    <t>220 x</t>
  </si>
  <si>
    <t>230 x</t>
  </si>
  <si>
    <t>235 x</t>
  </si>
  <si>
    <t>245 x</t>
  </si>
  <si>
    <t>250 x</t>
  </si>
  <si>
    <t>260 x</t>
  </si>
  <si>
    <t>265 x</t>
  </si>
  <si>
    <t>275 x</t>
  </si>
  <si>
    <t>280 x</t>
  </si>
  <si>
    <t>290 x</t>
  </si>
  <si>
    <t>295 x</t>
  </si>
  <si>
    <t>305 x</t>
  </si>
  <si>
    <t>310 x</t>
  </si>
  <si>
    <t>320 x</t>
  </si>
  <si>
    <t>325 x</t>
  </si>
  <si>
    <t>335 x</t>
  </si>
  <si>
    <t>340 x</t>
  </si>
  <si>
    <t>350 x</t>
  </si>
  <si>
    <t>355 x</t>
  </si>
  <si>
    <t>5 y</t>
  </si>
  <si>
    <t>10 y</t>
  </si>
  <si>
    <t>20 y</t>
  </si>
  <si>
    <t>25 y</t>
  </si>
  <si>
    <t>35 y</t>
  </si>
  <si>
    <t>40 y</t>
  </si>
  <si>
    <t>50 y</t>
  </si>
  <si>
    <t>55 y</t>
  </si>
  <si>
    <t>65 y</t>
  </si>
  <si>
    <t>70 y</t>
  </si>
  <si>
    <t>80 y</t>
  </si>
  <si>
    <t>85 y</t>
  </si>
  <si>
    <t>95 y</t>
  </si>
  <si>
    <t>100 y</t>
  </si>
  <si>
    <t>110 y</t>
  </si>
  <si>
    <t>115 y</t>
  </si>
  <si>
    <t>125 y</t>
  </si>
  <si>
    <t>130 y</t>
  </si>
  <si>
    <t>140 y</t>
  </si>
  <si>
    <t>145 y</t>
  </si>
  <si>
    <t>155 y</t>
  </si>
  <si>
    <t>160 y</t>
  </si>
  <si>
    <t>170 y</t>
  </si>
  <si>
    <t>175 y</t>
  </si>
  <si>
    <t>185 y</t>
  </si>
  <si>
    <t>190 y</t>
  </si>
  <si>
    <t>200 y</t>
  </si>
  <si>
    <t>205 y</t>
  </si>
  <si>
    <t>215 y</t>
  </si>
  <si>
    <t>220 y</t>
  </si>
  <si>
    <t>230 y</t>
  </si>
  <si>
    <t>235 y</t>
  </si>
  <si>
    <t>245 y</t>
  </si>
  <si>
    <t>250 y</t>
  </si>
  <si>
    <t>260 y</t>
  </si>
  <si>
    <t>265 y</t>
  </si>
  <si>
    <t>275 y</t>
  </si>
  <si>
    <t>280 y</t>
  </si>
  <si>
    <t>290 y</t>
  </si>
  <si>
    <t>295 y</t>
  </si>
  <si>
    <t>305 y</t>
  </si>
  <si>
    <t>310 y</t>
  </si>
  <si>
    <t>320 y</t>
  </si>
  <si>
    <t>325 y</t>
  </si>
  <si>
    <t>335 y</t>
  </si>
  <si>
    <t>340 y</t>
  </si>
  <si>
    <t>350 y</t>
  </si>
  <si>
    <t>355 y</t>
  </si>
  <si>
    <t>+/- Fork Travel/Axle-to-Crown (mm)</t>
  </si>
  <si>
    <t>BSD</t>
  </si>
  <si>
    <t>32</t>
  </si>
  <si>
    <t>Version 1.0</t>
  </si>
  <si>
    <t>Bike 1
Base Geometry</t>
  </si>
  <si>
    <t>Bike 2
Base Geometry</t>
  </si>
  <si>
    <t>Bike 1 
Modified Geometry</t>
  </si>
  <si>
    <t>Bike 3
Base Geometry</t>
  </si>
  <si>
    <t>Bike 2
Modified Geometry</t>
  </si>
  <si>
    <t>Bike 3
Modified Geometry</t>
  </si>
  <si>
    <t>Bike 4
Base Geometry</t>
  </si>
  <si>
    <t>x plot alignment step 1</t>
  </si>
  <si>
    <t>y plot alignment step 2</t>
  </si>
  <si>
    <t>min x plot alignment</t>
  </si>
  <si>
    <t>max x plot alignment</t>
  </si>
  <si>
    <t>min y plot alignment</t>
  </si>
  <si>
    <t>max y plot alignment</t>
  </si>
  <si>
    <t>bar rotated knuckle z (Qz) plot right</t>
  </si>
  <si>
    <t>bar rotated knuckle z (Qz) plot left</t>
  </si>
  <si>
    <t>End grip z rotated plot right</t>
  </si>
  <si>
    <t>End grip z rotated plot left</t>
  </si>
  <si>
    <t>Mz plot</t>
  </si>
  <si>
    <t>Nz plot</t>
  </si>
  <si>
    <t>Start of grip z rotated plot right</t>
  </si>
  <si>
    <t>Start of grip z rotated plot left</t>
  </si>
  <si>
    <t>bar rotated knuckle z (Qz) left</t>
  </si>
  <si>
    <t>bar rotated knuckle z (Qz) right</t>
  </si>
  <si>
    <t>Start of grip z rotated left</t>
  </si>
  <si>
    <t>Start of grip z rotated right</t>
  </si>
  <si>
    <t>End grip z rotated left</t>
  </si>
  <si>
    <t>End grip z rotated right</t>
  </si>
  <si>
    <t>Bike 4
Modified Geometry</t>
  </si>
  <si>
    <t>Bike 5
Base Geometry</t>
  </si>
  <si>
    <t>Bike 5
Modified Geometry</t>
  </si>
  <si>
    <t>z plot alignment</t>
  </si>
  <si>
    <t>adam@madscientistmtb.com</t>
  </si>
  <si>
    <t>Needed For Seated Fit</t>
  </si>
  <si>
    <t>Calculated Fit Parameters</t>
  </si>
  <si>
    <t>x cockpit plot alignment</t>
  </si>
  <si>
    <t>y cockpit plot alignment</t>
  </si>
  <si>
    <t>z cockpit plot alignment</t>
  </si>
  <si>
    <t>seatpost top at effective height x</t>
  </si>
  <si>
    <t>seat post top at effective height y</t>
  </si>
  <si>
    <t>Bx cockpit plot</t>
  </si>
  <si>
    <t>By cockpit plot</t>
  </si>
  <si>
    <t>Dx cockpit plot</t>
  </si>
  <si>
    <t>Dy cockpit plot</t>
  </si>
  <si>
    <t>seat post top x plot</t>
  </si>
  <si>
    <t>seat post top at y plot</t>
  </si>
  <si>
    <r>
      <t>Manufacturer's Rear Dimension Method</t>
    </r>
    <r>
      <rPr>
        <b/>
        <vertAlign val="superscript"/>
        <sz val="11"/>
        <color theme="1"/>
        <rFont val="Calibri"/>
        <family val="2"/>
        <scheme val="minor"/>
      </rPr>
      <t>Note 2</t>
    </r>
  </si>
  <si>
    <r>
      <t>Display Cockpit (Y/N)</t>
    </r>
    <r>
      <rPr>
        <b/>
        <vertAlign val="superscript"/>
        <sz val="11"/>
        <color theme="1"/>
        <rFont val="Calibri"/>
        <family val="2"/>
        <scheme val="minor"/>
      </rPr>
      <t>Note 4</t>
    </r>
  </si>
  <si>
    <r>
      <t>Needed for RAD</t>
    </r>
    <r>
      <rPr>
        <b/>
        <vertAlign val="superscript"/>
        <sz val="11"/>
        <color theme="1"/>
        <rFont val="Calibri"/>
        <family val="2"/>
        <scheme val="minor"/>
      </rPr>
      <t>Note 5</t>
    </r>
  </si>
  <si>
    <t>Bike Display Alignment</t>
  </si>
  <si>
    <t>Mad Scientist MTB</t>
  </si>
  <si>
    <t>Geometry Parameters</t>
  </si>
  <si>
    <t>Cockpit</t>
  </si>
  <si>
    <t>front tire cockpit plot</t>
  </si>
  <si>
    <t>rear tire cockpit plot</t>
  </si>
  <si>
    <t>General Notes</t>
  </si>
  <si>
    <t>Notes referenced in the calculator</t>
  </si>
  <si>
    <t>Bike Description (Make/Model/Size/etc.)</t>
  </si>
  <si>
    <t>Year/Make/Model/Size/etc. 1</t>
  </si>
  <si>
    <t>Year/Make/Model/Size/etc. 2</t>
  </si>
  <si>
    <t>Year/Make/Model/Size/etc. 3</t>
  </si>
  <si>
    <t>Year/Make/Model/Size/etc. 4</t>
  </si>
  <si>
    <t>Year/Make/Model/Size/etc. 5</t>
  </si>
  <si>
    <t>mm</t>
  </si>
  <si>
    <t>°</t>
  </si>
  <si>
    <t>Seat Tube Length</t>
  </si>
  <si>
    <t>Effective Seat Tube Angle</t>
  </si>
  <si>
    <t>Head Angle</t>
  </si>
  <si>
    <t xml:space="preserve">Stack </t>
  </si>
  <si>
    <t>Reach</t>
  </si>
  <si>
    <r>
      <t>Front Tire Diameter</t>
    </r>
    <r>
      <rPr>
        <b/>
        <vertAlign val="superscript"/>
        <sz val="11"/>
        <color theme="1"/>
        <rFont val="Calibri"/>
        <family val="2"/>
        <scheme val="minor"/>
      </rPr>
      <t>Note 1</t>
    </r>
  </si>
  <si>
    <r>
      <t>Rear Tire Diameter</t>
    </r>
    <r>
      <rPr>
        <b/>
        <vertAlign val="superscript"/>
        <sz val="11"/>
        <color theme="1"/>
        <rFont val="Calibri"/>
        <family val="2"/>
        <scheme val="minor"/>
      </rPr>
      <t>Note 1</t>
    </r>
  </si>
  <si>
    <t>Units</t>
  </si>
  <si>
    <t>in</t>
  </si>
  <si>
    <t>Tire Width</t>
  </si>
  <si>
    <t>Bead Seat Diameter</t>
  </si>
  <si>
    <t>Estimated Tire Diameter</t>
  </si>
  <si>
    <t>Rear Dimension Value (Chainstay Length or Rear Center Length)</t>
  </si>
  <si>
    <r>
      <t>Bottom Bracket Drop - Rear</t>
    </r>
    <r>
      <rPr>
        <b/>
        <vertAlign val="superscript"/>
        <sz val="11"/>
        <color theme="1"/>
        <rFont val="Calibri"/>
        <family val="2"/>
        <scheme val="minor"/>
      </rPr>
      <t>Note 1</t>
    </r>
  </si>
  <si>
    <r>
      <t>Bottom Bracket Drop - Front</t>
    </r>
    <r>
      <rPr>
        <b/>
        <vertAlign val="superscript"/>
        <sz val="11"/>
        <color theme="1"/>
        <rFont val="Calibri"/>
        <family val="2"/>
        <scheme val="minor"/>
      </rPr>
      <t>Note 1</t>
    </r>
  </si>
  <si>
    <r>
      <t>Bottom Bracket Drop - True</t>
    </r>
    <r>
      <rPr>
        <b/>
        <vertAlign val="superscript"/>
        <sz val="11"/>
        <color theme="1"/>
        <rFont val="Calibri"/>
        <family val="2"/>
        <scheme val="minor"/>
      </rPr>
      <t>Note 1</t>
    </r>
  </si>
  <si>
    <r>
      <t>Bottom Bracket Height</t>
    </r>
    <r>
      <rPr>
        <b/>
        <vertAlign val="superscript"/>
        <sz val="11"/>
        <color theme="1"/>
        <rFont val="Calibri"/>
        <family val="2"/>
        <scheme val="minor"/>
      </rPr>
      <t>Note 1</t>
    </r>
  </si>
  <si>
    <t>Head Tube Length</t>
  </si>
  <si>
    <t>Fork Offset/Rake</t>
  </si>
  <si>
    <r>
      <t>Standover</t>
    </r>
    <r>
      <rPr>
        <b/>
        <vertAlign val="superscript"/>
        <sz val="11"/>
        <color theme="1"/>
        <rFont val="Calibri"/>
        <family val="2"/>
        <scheme val="minor"/>
      </rPr>
      <t>Note 3</t>
    </r>
  </si>
  <si>
    <t>Calculated Wheelbase</t>
  </si>
  <si>
    <t>Calculated Front Center</t>
  </si>
  <si>
    <t>Calculated Effective Top Tube Length</t>
  </si>
  <si>
    <t>Calculated Axle-to-Crown Length + Lower Headset Cup Stack</t>
  </si>
  <si>
    <t>Calculated Trail</t>
  </si>
  <si>
    <t>Stem Length</t>
  </si>
  <si>
    <t>Stem Rise/Drop Angle</t>
  </si>
  <si>
    <t>Stack Height to Center of Stem Clamp</t>
  </si>
  <si>
    <t>Handlebar Rise</t>
  </si>
  <si>
    <t>Handlebar Backsweep Angle</t>
  </si>
  <si>
    <t>Handlebar Upsweep Angle</t>
  </si>
  <si>
    <t>Handlebar Roll - (0° is vertical, +ve forward)</t>
  </si>
  <si>
    <t>Length of Handlebar's Control Area On One Side</t>
  </si>
  <si>
    <t>Grip Length</t>
  </si>
  <si>
    <t>Handlebar Width</t>
  </si>
  <si>
    <t>Actual Seat Angle</t>
  </si>
  <si>
    <t>Bottom Bracket to Saddle Distance at Ride Height</t>
  </si>
  <si>
    <t>Saddle Setback/Fore/Aft Fit Adjustment (+ve rearward)</t>
  </si>
  <si>
    <t>Crank Length</t>
  </si>
  <si>
    <t>Calculated Effective Reach</t>
  </si>
  <si>
    <t>Calculated Effective Stack</t>
  </si>
  <si>
    <t>Calculated Effective Seat Angle with Saddle at Ride Height</t>
  </si>
  <si>
    <t>Calculated Seated Fit</t>
  </si>
  <si>
    <t>Calculated Saddle to 6 o'clock Pedal Distance</t>
  </si>
  <si>
    <t>Calculated Rider Area Distance (RAD)</t>
  </si>
  <si>
    <t>Calculated Rider Area Angle in Degrees (RAAD or RAD Angle)</t>
  </si>
  <si>
    <t>Calculated Steering/Hands Offset</t>
  </si>
  <si>
    <t>Calculated Span</t>
  </si>
  <si>
    <t>Standover required only for graphical representation of the bike. It is not used in any calculations and can be estimated or even ignored if not known.</t>
  </si>
  <si>
    <t>Enter +/- 10 mm for each +/- 10 mm of change in travel if the same fork is being used. If using a different fork, compare the stated axle-to-crown dimensions from the manufacturer's specs and put the difference in mm in this field. </t>
  </si>
  <si>
    <t>Enter the manufacturer's stated change in reach. The change to the steerer tube position shows up in both the reach and stack because the head tube is at an angle.</t>
  </si>
  <si>
    <t>If adding/removing a taller crown race or changing the lower headset cup to/from ZS or EC cup, put the change in cup stack height in this field. </t>
  </si>
  <si>
    <t>For bikes with adjustable chainstays. Although the manufacturer will usually describe this feature as a range of chainstay lengths, it's actually the rear center measurement that is directly changing by the specified amount, as the translation of the axle is purely horizontal.</t>
  </si>
  <si>
    <t>Use the Tire Size Estimator above. If both wheels on the manufacturer's specs are the same size, then the accuracy of this value only affects the calculated trail measurement and bottom bracket height. If mixing wheel sizes, accuracy of the wheel size estimate becomes important as it will dictate changes in every calculated measurement.</t>
  </si>
  <si>
    <t>Use the Tire Size Estimator linked above. If both wheels on the manufacturer's specs are the same size, then the accuracy of this value only affects the calculated trail measurement and bottom bracket height. If mixing wheel sizes, accuracy of the wheel size estimate becomes important as it will dictate changes in every calculated measurement</t>
  </si>
  <si>
    <t>Horizontal distance between center of bottom bracket and steering axis at top of headtube. </t>
  </si>
  <si>
    <t>Vertical distance between center of bottom bracket and top of headtube along steering axis.</t>
  </si>
  <si>
    <t>Angle between the steering axis and a horizontal line drawn backward from the front axle.</t>
  </si>
  <si>
    <t>Angle between a line drawn from center of bottom bracket to the saddle rails (with the saddle rails set at the same height as the top of head tube) and a horizontal line drawn backward from the center of bottom bracket.</t>
  </si>
  <si>
    <t>Straight line distance between the center of bottom bracket and the center of the top of the seat tube.</t>
  </si>
  <si>
    <t>Choose from either chainstay length or rear center depending on how the manufacturer states it in their geometry chart. The other parameter will be calculated automatically.</t>
  </si>
  <si>
    <t>Straight line distance between center of rear axle and center of bottom bracket. </t>
  </si>
  <si>
    <t>Horizontal distance from center of rear axle to center of bottom bracket.</t>
  </si>
  <si>
    <t>Vertical distance between center of bottom bracket and a line drawn between rear and front axles.</t>
  </si>
  <si>
    <t>Vertical distance from ground to center of bottom bracket.</t>
  </si>
  <si>
    <t>True length of the frame's head tube, not including headset cups or spacers.</t>
  </si>
  <si>
    <t>Perpendicular distance from steering axis to front axle.</t>
  </si>
  <si>
    <t>Horizontal distance between ground contact points of front and rear wheels.</t>
  </si>
  <si>
    <t>Horizontal distance from center of bottom bracket to center of front axle.</t>
  </si>
  <si>
    <t>Horizontal distance between the steering axis at top of headtube and center of the top of the seatpost at top of head tube height.</t>
  </si>
  <si>
    <t>Straight line distance between the center of the bottom bracket and the center of the top of headtube.</t>
  </si>
  <si>
    <t>Axle-to-crown measurement as determined by the geometry table. This measurement may differ slightly from the fork manufacturer's axle-to-crown number because this calculated dimension inherently includes the thickness of the bottom headset cup and any protrusion of the lower headset bearing. </t>
  </si>
  <si>
    <t>Horizontal distance measured along the ground between the front wheel contact point and the intersection of the steering axis and ground. </t>
  </si>
  <si>
    <t>Angle defined by a line drawn through the straight section of seat tube and a horizontal line drawn backward from the center of bottom bracket. If this dimension is not provided by the manufacturer, either estimate it or measure it. The seated fit and horizontal fit measurements depend on the accuracy of this angle.</t>
  </si>
  <si>
    <t>Straight line distance from center of bottom bracket to center of top of saddle at riding height.</t>
  </si>
  <si>
    <t>Horizontal position relative to center of saddle on the rails. Enter positive number (+) for saddle with setback or if sliding saddle rearward and negative number (-) if sliding saddle forward.</t>
  </si>
  <si>
    <t>Length of cranks measured from center of bottom bracket to center of pedal axle.</t>
  </si>
  <si>
    <t>Length of stem measured from center of steerer tube to center of handlebar at clamp.</t>
  </si>
  <si>
    <t>Enter positive values for stems with rise and negative values for stems with drop.</t>
  </si>
  <si>
    <t>Distance measured along steerer tube between top of head tube and center of stem steerer clamp. </t>
  </si>
  <si>
    <t>Straight line measurement from end to end of bar.</t>
  </si>
  <si>
    <t>Vertical rise of the bar as stated by the manufacturer.</t>
  </si>
  <si>
    <t>Backsweep angle as stated by the manufacturer.</t>
  </si>
  <si>
    <t>Upsweep angle as stated by the manufacturer.</t>
  </si>
  <si>
    <t>The length of the straight portions of the bar. Does not include the stem's clamping area or any straight area near the clamping area. If using a bar with no sweep, this value would be 0. This is not a common value to find in the manufacturer's literature, so an estimate or tape measurement may be required.</t>
  </si>
  <si>
    <t>Angular measurement of the handlebar roll within the stem clamp. It is assumed that you will revert the handlebars to their original position if any geometry changes are made to the bike, so zero degrees is always considered vertical here, regardless of any changes to the bike's head angle. Enter positive (+) numbers to rotate the bars away from the rider and negative (-) numbers to rotate the bars toward the rider.</t>
  </si>
  <si>
    <t>Length of grip from inside face to outer edge.</t>
  </si>
  <si>
    <t>Outer diameter of grips (for RAD and RAAD calculations)</t>
  </si>
  <si>
    <t>Horizontal distance between center of bottom bracket and middle of grips.</t>
  </si>
  <si>
    <t>Vertical distance between center of bottom bracket and middle of grips.</t>
  </si>
  <si>
    <t>Angle defined by a line drawn from center of bottom bracket to the top of center of saddle (with top of saddle at the specified height) and a horizontal line drawn backward from the center of bottom bracket.</t>
  </si>
  <si>
    <t>Straight line from midpoint of top of saddle at ride height to grips.</t>
  </si>
  <si>
    <t>Distance from top of saddle to pedals at their lowest point.</t>
  </si>
  <si>
    <t>Another Lee McCormack measurement. Horizontal distance from middle of grip to steering axis at middle of grip height. Values are positive when center of grip is in front of the steering axis and negative when behind the steering axis.</t>
  </si>
  <si>
    <t>Rear Tire Diameter</t>
  </si>
  <si>
    <t>Front Tire Diameter</t>
  </si>
  <si>
    <t>Stack</t>
  </si>
  <si>
    <t>Bottom Bracket Height</t>
  </si>
  <si>
    <t>Bottom Bracket Drop - Rear</t>
  </si>
  <si>
    <t>Standover</t>
  </si>
  <si>
    <t>Grip Diameter</t>
  </si>
  <si>
    <t>Lee McCormack's Rider Area Distance. Side view projection from center of bottom bracket to middle of top of grip.</t>
  </si>
  <si>
    <t>Lee McCormack's Rider Area Angle in Degrees. Angle of line from bottom bracket to midpoint of top of grips (RAD line) measured from horizontal.</t>
  </si>
  <si>
    <r>
      <t>Calculated Rider Area Distance (RAD)</t>
    </r>
    <r>
      <rPr>
        <b/>
        <vertAlign val="superscript"/>
        <sz val="11"/>
        <color theme="1"/>
        <rFont val="Calibri"/>
        <family val="2"/>
        <scheme val="minor"/>
      </rPr>
      <t xml:space="preserve">Note 6 </t>
    </r>
  </si>
  <si>
    <r>
      <t>Calculated Rider Area Angle in Degrees (RAAD or RAD Angle)</t>
    </r>
    <r>
      <rPr>
        <b/>
        <vertAlign val="superscript"/>
        <sz val="11"/>
        <color theme="1"/>
        <rFont val="Calibri"/>
        <family val="2"/>
        <scheme val="minor"/>
      </rPr>
      <t>Note 6</t>
    </r>
  </si>
  <si>
    <t>Parameter</t>
  </si>
  <si>
    <t>Definition</t>
  </si>
  <si>
    <t>Enter negative (-) values for slackening head angle and positive values (+) for steepening head angle.
Note that if your angleset requires replacing a ZS bottom cup with an EC cup, the additional stack height should be added to the "Change to Lower Headtube Stack Height" field.</t>
  </si>
  <si>
    <t>+/- Lower Headset Cup</t>
  </si>
  <si>
    <t>+/- Rear Center Length</t>
  </si>
  <si>
    <t>+/- Reach Adjust Headset</t>
  </si>
  <si>
    <t>+/- Angle Headset</t>
  </si>
  <si>
    <t>+/- Fork Travel/Axle-to-Crown</t>
  </si>
  <si>
    <t>Manufacturer's Rear Dimension Method</t>
  </si>
  <si>
    <t>This measurement is not standardized between manufacturers. Used here to locate the intersection of the top tube and seat tube in the bike graphics.</t>
  </si>
  <si>
    <t>RAD and RAAD are calculated from the center of the bottom bracket to the top of the grips, since the common way of measuring in practice requires running a string on top of the grips, between the middles of the two grips.</t>
  </si>
  <si>
    <t>(°)</t>
  </si>
  <si>
    <t>Fork Travel</t>
  </si>
  <si>
    <t>Preferred Sag</t>
  </si>
  <si>
    <t>%</t>
  </si>
  <si>
    <t>A</t>
  </si>
  <si>
    <t>Am_temp</t>
  </si>
  <si>
    <t>Am</t>
  </si>
  <si>
    <t>Static</t>
  </si>
  <si>
    <t>Sagged</t>
  </si>
  <si>
    <t>Display Bike (Y/N)</t>
  </si>
  <si>
    <t>Fork Travel (mm)</t>
  </si>
  <si>
    <t>Sag (%)</t>
  </si>
  <si>
    <t>Manufacturer's Geometry Method</t>
  </si>
  <si>
    <t>Mad Scientist MTB Sagged Hardtail Geometry Calculator</t>
  </si>
  <si>
    <t>Mad Scientist MTB RAD Calculator</t>
  </si>
  <si>
    <t>Mad Scientist MTB Rigid Fork Axle-to-Crown Calculator</t>
  </si>
  <si>
    <t>This calculator is provided to find the RAD measurement without going through the effort of inputting all bike data into the Geometry Calculator. This calculation is reduced to the minimum requirements to find RAD using the parameters listed in the Geometry Calculator.</t>
  </si>
  <si>
    <t>From rigid fork to suspension fork</t>
  </si>
  <si>
    <t>From suspension fork to rigid fork</t>
  </si>
  <si>
    <t>Fork conversion</t>
  </si>
  <si>
    <t>Mad Scientist MTB Tire Diameter Estimator</t>
  </si>
  <si>
    <r>
      <t xml:space="preserve">These calculators are updated when necessary. Version notes are listed in the top left of the Geometry Calculator. Check </t>
    </r>
    <r>
      <rPr>
        <u/>
        <sz val="11"/>
        <color theme="4"/>
        <rFont val="Calibri"/>
        <family val="2"/>
        <scheme val="minor"/>
      </rPr>
      <t>madscientistmtb.com</t>
    </r>
    <r>
      <rPr>
        <sz val="11"/>
        <rFont val="Calibri"/>
        <family val="2"/>
        <scheme val="minor"/>
      </rPr>
      <t xml:space="preserve"> for the latest version.</t>
    </r>
  </si>
  <si>
    <t>Cells in white are for user entry. Gray cells are automatically calculated and should not be changed.</t>
  </si>
  <si>
    <r>
      <t xml:space="preserve">Bikes that come stock with mixed wheels can present a challenge for reverse engineering the bike geometry, since the calculations are premised on the basis that bottom bracket drop can be measured from a horizontal line drawn forward from the rear hub. With mixed wheels, this line is actually sloped upward. A sloped line introduces too many unknowns to the calculations, so an iterative approach is needed. The best case scenario is that the manufacturer provides bottom bracket drop with respect to front and rear axles, which will yield the most accurate results. The alternative, where only a single value is given will likely not be 100% accurate but will be close enough to work with.
The following instructions apply to bikes that come stock with mixed wheels:
</t>
    </r>
    <r>
      <rPr>
        <b/>
        <sz val="11"/>
        <color theme="1"/>
        <rFont val="Calibri"/>
        <family val="2"/>
        <scheme val="minor"/>
      </rPr>
      <t>Steps for stock mixed wheel bikes where bottom bracket drop is given with respect to both front and rear axles:</t>
    </r>
    <r>
      <rPr>
        <sz val="11"/>
        <color theme="1"/>
        <rFont val="Calibri"/>
        <family val="2"/>
        <scheme val="minor"/>
      </rPr>
      <t xml:space="preserve">
-Enter the Bottom Bracket Drop - Rear value into the calculator. 
-Modify the Rear Wheel Diameter until the calculated Bottom Bracket Height matches the manufacturer's published value.
-Modify the Front Wheel Diameter until the calculated Bottom Bracket Drop - Front value matches the manufacturer's value.
</t>
    </r>
    <r>
      <rPr>
        <b/>
        <sz val="11"/>
        <color theme="1"/>
        <rFont val="Calibri"/>
        <family val="2"/>
        <scheme val="minor"/>
      </rPr>
      <t xml:space="preserve">Steps for stock mixed wheel bikes where bottom bracket drop is given as a single value (at the bottom bracket):
</t>
    </r>
    <r>
      <rPr>
        <sz val="11"/>
        <color theme="1"/>
        <rFont val="Calibri"/>
        <family val="2"/>
        <scheme val="minor"/>
      </rPr>
      <t>-Enter the complete bike geometry as listed except for the bottom bracket drop. 
-Enter a smaller value in the Bottom Bracket Drop - Rear field until the calculated Bottom Bracket Drop - True field matches the published value. 
-Modify the Rear Wheel Diameter until the calculated Bottom Bracket Height matches the manufacturer's published value.
-If the calculated axle-to-crown dimension seems off, then modify the front wheel diameter until you think you've got the results close enough. The results from this method will always be approximate.</t>
    </r>
  </si>
  <si>
    <t>Some manufacturers provide the Chainstay Length and others use Rear Center. Those two measurements are slightly different by definition: Chainstay Length is the length of a line connecting the rear axle and the bottom bracket while Rear Center is strictly the horizontal distance between those two points. Select the appropriate one from the dropdown and enter that value into the calculator.</t>
  </si>
  <si>
    <t>The entries noted as "Needed for RAD" are the minimum cockpit requirements to be filled out to calculate the RAD measurement.</t>
  </si>
  <si>
    <t>The cockpit entries are only required if you want to calculate or compare bike fit parameters. Select N for the "Display Cockpit" dropdown and ignore all fields below it if you only want to compare frame geometry.</t>
  </si>
  <si>
    <t>Ontario, Canada</t>
  </si>
  <si>
    <r>
      <t xml:space="preserve">Mad Scientist MTB Geometry Calculator
</t>
    </r>
    <r>
      <rPr>
        <sz val="11"/>
        <color theme="1"/>
        <rFont val="Calibri"/>
        <family val="2"/>
        <scheme val="minor"/>
      </rPr>
      <t>Compare stock and modified geometry for up to 5 bikes.</t>
    </r>
  </si>
  <si>
    <t>To convert from a suspension fork to a rigid fork or vice versa, maintining the same static geometry the bike had with sag (i.e. suspension correction).</t>
  </si>
  <si>
    <t>This is a simple model of a tire that assumes the profile is circular, so that the tire height is equal to the width you specify. It is usually close enough, but if you're looking for higher accuracy, roll the tire one revolution along a measuring tape and divide the measured length (the circumference) by pi.</t>
  </si>
  <si>
    <t xml:space="preserve">This calculator is intended for hardtails only. Hardtails naturally steepen when the rider sits on the saddle, so the sagged geometry provides a better comparison to full suspension static bike geometry. Use this calculator to convert between published static and calculated sagged geometry or vice versa. </t>
  </si>
  <si>
    <t>This calculator was made in Microsoft Excel. It has not been tested in other spreadsheet software but is likely to have performance issues, particularly with displaying the bikes correctly. It is highly recommended to use Microsoft Excel and to keep the worksheet protections enabled. Cells that perform calculations are protected as read-only to prevent accidental modification to the background math and to minimize the amount of button-pressing required to move around to the input cells. This functionality is only guaranteed to work correctly in Microsoft Excel.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</si>
</sst>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u/>
      <sz val="11"/>
      <color theme="1"/>
      <name val="Calibri"/>
      <family val="2"/>
      <scheme val="minor"/>
    </font>
    <font>
      <b/>
      <sz val="11"/>
      <color theme="1"/>
      <name val="Calibri"/>
      <family val="2"/>
      <scheme val="minor"/>
    </font>
    <font>
      <b/>
      <sz val="11"/>
      <name val="Calibri"/>
      <family val="2"/>
      <scheme val="minor"/>
    </font>
    <font>
      <b/>
      <sz val="11"/>
      <color rgb="FF0070C0"/>
      <name val="Calibri"/>
      <family val="2"/>
      <scheme val="minor"/>
    </font>
    <font>
      <sz val="11"/>
      <color rgb="FF0070C0"/>
      <name val="Calibri"/>
      <family val="2"/>
      <scheme val="minor"/>
    </font>
    <font>
      <sz val="11"/>
      <color rgb="FFFF0000"/>
      <name val="Calibri"/>
      <family val="2"/>
      <scheme val="minor"/>
    </font>
    <font>
      <sz val="8"/>
      <name val="Calibri"/>
      <family val="2"/>
      <scheme val="minor"/>
    </font>
    <font>
      <sz val="11"/>
      <color rgb="FF00B050"/>
      <name val="Calibri"/>
      <family val="2"/>
      <scheme val="minor"/>
    </font>
    <font>
      <b/>
      <sz val="11"/>
      <color rgb="FF00B050"/>
      <name val="Calibri"/>
      <family val="2"/>
      <scheme val="minor"/>
    </font>
    <font>
      <b/>
      <sz val="11"/>
      <color rgb="FFFF0000"/>
      <name val="Calibri"/>
      <family val="2"/>
      <scheme val="minor"/>
    </font>
    <font>
      <b/>
      <sz val="11"/>
      <color rgb="FF7030A0"/>
      <name val="Calibri"/>
      <family val="2"/>
      <scheme val="minor"/>
    </font>
    <font>
      <sz val="11"/>
      <color rgb="FF7030A0"/>
      <name val="Calibri"/>
      <family val="2"/>
      <scheme val="minor"/>
    </font>
    <font>
      <b/>
      <sz val="11"/>
      <color rgb="FFFF8080"/>
      <name val="Calibri"/>
      <family val="2"/>
      <scheme val="minor"/>
    </font>
    <font>
      <sz val="11"/>
      <color rgb="FFFF8080"/>
      <name val="Calibri"/>
      <family val="2"/>
      <scheme val="minor"/>
    </font>
    <font>
      <b/>
      <sz val="11"/>
      <color rgb="FF80B8E0"/>
      <name val="Calibri"/>
      <family val="2"/>
      <scheme val="minor"/>
    </font>
    <font>
      <sz val="11"/>
      <color rgb="FF80B8E0"/>
      <name val="Calibri"/>
      <family val="2"/>
      <scheme val="minor"/>
    </font>
    <font>
      <b/>
      <sz val="11"/>
      <color rgb="FF80D8A8"/>
      <name val="Calibri"/>
      <family val="2"/>
      <scheme val="minor"/>
    </font>
    <font>
      <sz val="11"/>
      <color rgb="FF80D8A8"/>
      <name val="Calibri"/>
      <family val="2"/>
      <scheme val="minor"/>
    </font>
    <font>
      <b/>
      <sz val="11"/>
      <color rgb="FFB898D0"/>
      <name val="Calibri"/>
      <family val="2"/>
      <scheme val="minor"/>
    </font>
    <font>
      <sz val="11"/>
      <color rgb="FFB898D0"/>
      <name val="Calibri"/>
      <family val="2"/>
      <scheme val="minor"/>
    </font>
    <font>
      <b/>
      <sz val="11"/>
      <color rgb="FF808080"/>
      <name val="Calibri"/>
      <family val="2"/>
      <scheme val="minor"/>
    </font>
    <font>
      <sz val="11"/>
      <color rgb="FF808080"/>
      <name val="Calibri"/>
      <family val="2"/>
      <scheme val="minor"/>
    </font>
    <font>
      <sz val="11"/>
      <name val="Calibri"/>
      <family val="2"/>
      <scheme val="minor"/>
    </font>
    <font>
      <u/>
      <sz val="11"/>
      <color theme="10"/>
      <name val="Calibri"/>
      <family val="2"/>
      <scheme val="minor"/>
    </font>
    <font>
      <b/>
      <vertAlign val="superscript"/>
      <sz val="11"/>
      <color theme="1"/>
      <name val="Calibri"/>
      <family val="2"/>
      <scheme val="minor"/>
    </font>
    <font>
      <u/>
      <sz val="11"/>
      <color theme="4"/>
      <name val="Calibri"/>
      <family val="2"/>
      <scheme val="minor"/>
    </font>
  </fonts>
  <fills count="6">
    <fill>
      <patternFill patternType="none"/>
    </fill>
    <fill>
      <patternFill patternType="gray125"/>
    </fill>
    <fill>
      <patternFill patternType="solid">
        <fgColor theme="0" tint="-0.499984740745262"/>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0"/>
        <bgColor indexed="64"/>
      </patternFill>
    </fill>
  </fills>
  <borders count="152">
    <border>
      <left/>
      <right/>
      <top/>
      <bottom/>
      <diagonal/>
    </border>
    <border>
      <left style="thin">
        <color indexed="64"/>
      </left>
      <right style="thin">
        <color indexed="64"/>
      </right>
      <top style="thin">
        <color indexed="64"/>
      </top>
      <bottom style="thin">
        <color indexed="64"/>
      </bottom>
      <diagonal/>
    </border>
    <border>
      <left/>
      <right style="thick">
        <color rgb="FFFF8080"/>
      </right>
      <top style="thick">
        <color rgb="FFFF8080"/>
      </top>
      <bottom style="thin">
        <color indexed="64"/>
      </bottom>
      <diagonal/>
    </border>
    <border>
      <left/>
      <right style="thick">
        <color rgb="FFFF8080"/>
      </right>
      <top style="thin">
        <color indexed="64"/>
      </top>
      <bottom style="thin">
        <color indexed="64"/>
      </bottom>
      <diagonal/>
    </border>
    <border>
      <left style="thin">
        <color indexed="64"/>
      </left>
      <right style="thick">
        <color rgb="FF80B8E0"/>
      </right>
      <top style="thin">
        <color indexed="64"/>
      </top>
      <bottom style="thin">
        <color indexed="64"/>
      </bottom>
      <diagonal/>
    </border>
    <border>
      <left/>
      <right style="thick">
        <color rgb="FF80B8E0"/>
      </right>
      <top style="thin">
        <color indexed="64"/>
      </top>
      <bottom style="thin">
        <color indexed="64"/>
      </bottom>
      <diagonal/>
    </border>
    <border>
      <left/>
      <right style="thick">
        <color rgb="FF80D8A8"/>
      </right>
      <top style="thick">
        <color rgb="FF80D8A8"/>
      </top>
      <bottom style="thin">
        <color indexed="64"/>
      </bottom>
      <diagonal/>
    </border>
    <border>
      <left style="thin">
        <color indexed="64"/>
      </left>
      <right style="thick">
        <color rgb="FF80D8A8"/>
      </right>
      <top style="thin">
        <color indexed="64"/>
      </top>
      <bottom style="thin">
        <color indexed="64"/>
      </bottom>
      <diagonal/>
    </border>
    <border>
      <left/>
      <right style="thick">
        <color rgb="FF80D8A8"/>
      </right>
      <top style="thin">
        <color auto="1"/>
      </top>
      <bottom style="thin">
        <color auto="1"/>
      </bottom>
      <diagonal/>
    </border>
    <border>
      <left/>
      <right style="thick">
        <color rgb="FF80D8A8"/>
      </right>
      <top style="thin">
        <color auto="1"/>
      </top>
      <bottom style="thick">
        <color rgb="FF80D8A8"/>
      </bottom>
      <diagonal/>
    </border>
    <border>
      <left style="thin">
        <color indexed="64"/>
      </left>
      <right style="thick">
        <color rgb="FFFF8080"/>
      </right>
      <top style="thin">
        <color auto="1"/>
      </top>
      <bottom style="thin">
        <color auto="1"/>
      </bottom>
      <diagonal/>
    </border>
    <border>
      <left/>
      <right style="thick">
        <color rgb="FFFF8080"/>
      </right>
      <top style="thin">
        <color auto="1"/>
      </top>
      <bottom style="thick">
        <color rgb="FFFF8080"/>
      </bottom>
      <diagonal/>
    </border>
    <border>
      <left/>
      <right style="thick">
        <color rgb="FF80B8E0"/>
      </right>
      <top style="thick">
        <color rgb="FF80B8E0"/>
      </top>
      <bottom style="thin">
        <color auto="1"/>
      </bottom>
      <diagonal/>
    </border>
    <border>
      <left/>
      <right style="thick">
        <color rgb="FF80B8E0"/>
      </right>
      <top style="thin">
        <color auto="1"/>
      </top>
      <bottom style="thick">
        <color rgb="FF80B8E0"/>
      </bottom>
      <diagonal/>
    </border>
    <border>
      <left/>
      <right style="thick">
        <color rgb="FFB898D0"/>
      </right>
      <top style="thick">
        <color rgb="FFB898D0"/>
      </top>
      <bottom style="thin">
        <color indexed="64"/>
      </bottom>
      <diagonal/>
    </border>
    <border>
      <left style="thin">
        <color indexed="64"/>
      </left>
      <right style="thick">
        <color rgb="FFB898D0"/>
      </right>
      <top style="thin">
        <color indexed="64"/>
      </top>
      <bottom style="thin">
        <color indexed="64"/>
      </bottom>
      <diagonal/>
    </border>
    <border>
      <left/>
      <right style="thick">
        <color rgb="FFB898D0"/>
      </right>
      <top style="thin">
        <color indexed="64"/>
      </top>
      <bottom style="thin">
        <color indexed="64"/>
      </bottom>
      <diagonal/>
    </border>
    <border>
      <left/>
      <right style="thick">
        <color rgb="FFB898D0"/>
      </right>
      <top style="thin">
        <color indexed="64"/>
      </top>
      <bottom style="thick">
        <color rgb="FFB898D0"/>
      </bottom>
      <diagonal/>
    </border>
    <border>
      <left style="thick">
        <color rgb="FF808080"/>
      </left>
      <right/>
      <top style="thick">
        <color rgb="FF808080"/>
      </top>
      <bottom style="thin">
        <color indexed="64"/>
      </bottom>
      <diagonal/>
    </border>
    <border>
      <left/>
      <right style="thick">
        <color rgb="FF808080"/>
      </right>
      <top style="thick">
        <color rgb="FF808080"/>
      </top>
      <bottom style="thin">
        <color indexed="64"/>
      </bottom>
      <diagonal/>
    </border>
    <border>
      <left style="thick">
        <color rgb="FF808080"/>
      </left>
      <right style="thin">
        <color indexed="64"/>
      </right>
      <top style="thin">
        <color indexed="64"/>
      </top>
      <bottom style="thin">
        <color indexed="64"/>
      </bottom>
      <diagonal/>
    </border>
    <border>
      <left style="thin">
        <color indexed="64"/>
      </left>
      <right style="thick">
        <color rgb="FF808080"/>
      </right>
      <top style="thin">
        <color indexed="64"/>
      </top>
      <bottom style="thin">
        <color indexed="64"/>
      </bottom>
      <diagonal/>
    </border>
    <border>
      <left style="thick">
        <color rgb="FF808080"/>
      </left>
      <right/>
      <top style="thin">
        <color indexed="64"/>
      </top>
      <bottom style="thin">
        <color indexed="64"/>
      </bottom>
      <diagonal/>
    </border>
    <border>
      <left style="thick">
        <color rgb="FF808080"/>
      </left>
      <right/>
      <top style="thin">
        <color indexed="64"/>
      </top>
      <bottom style="thick">
        <color rgb="FF808080"/>
      </bottom>
      <diagonal/>
    </border>
    <border>
      <left/>
      <right style="thick">
        <color rgb="FF808080"/>
      </right>
      <top style="thin">
        <color indexed="64"/>
      </top>
      <bottom style="thin">
        <color indexed="64"/>
      </bottom>
      <diagonal/>
    </border>
    <border>
      <left/>
      <right style="thick">
        <color rgb="FF808080"/>
      </right>
      <top style="thin">
        <color indexed="64"/>
      </top>
      <bottom style="thick">
        <color rgb="FF808080"/>
      </bottom>
      <diagonal/>
    </border>
    <border>
      <left/>
      <right style="thick">
        <color rgb="FF0070C0"/>
      </right>
      <top style="thick">
        <color rgb="FF0070C0"/>
      </top>
      <bottom style="thin">
        <color indexed="64"/>
      </bottom>
      <diagonal/>
    </border>
    <border>
      <left/>
      <right style="thick">
        <color rgb="FF0070C0"/>
      </right>
      <top style="thin">
        <color indexed="64"/>
      </top>
      <bottom style="thin">
        <color indexed="64"/>
      </bottom>
      <diagonal/>
    </border>
    <border>
      <left/>
      <right style="thick">
        <color rgb="FF0070C0"/>
      </right>
      <top style="thin">
        <color indexed="64"/>
      </top>
      <bottom style="thick">
        <color rgb="FF0070C0"/>
      </bottom>
      <diagonal/>
    </border>
    <border>
      <left style="thick">
        <color rgb="FFFF0000"/>
      </left>
      <right/>
      <top style="thick">
        <color rgb="FFFF8080"/>
      </top>
      <bottom style="thin">
        <color indexed="64"/>
      </bottom>
      <diagonal/>
    </border>
    <border>
      <left style="thick">
        <color rgb="FFFF0000"/>
      </left>
      <right/>
      <top style="thin">
        <color indexed="64"/>
      </top>
      <bottom style="thin">
        <color indexed="64"/>
      </bottom>
      <diagonal/>
    </border>
    <border>
      <left style="thick">
        <color rgb="FFFF0000"/>
      </left>
      <right/>
      <top style="thin">
        <color indexed="64"/>
      </top>
      <bottom style="thick">
        <color rgb="FFFF8080"/>
      </bottom>
      <diagonal/>
    </border>
    <border>
      <left/>
      <right style="thick">
        <color rgb="FF00B050"/>
      </right>
      <top style="thick">
        <color rgb="FF00B050"/>
      </top>
      <bottom style="thin">
        <color indexed="64"/>
      </bottom>
      <diagonal/>
    </border>
    <border>
      <left/>
      <right style="thick">
        <color rgb="FF00B050"/>
      </right>
      <top style="thin">
        <color indexed="64"/>
      </top>
      <bottom style="thin">
        <color indexed="64"/>
      </bottom>
      <diagonal/>
    </border>
    <border>
      <left/>
      <right style="thick">
        <color rgb="FF00B050"/>
      </right>
      <top style="thin">
        <color indexed="64"/>
      </top>
      <bottom style="thick">
        <color rgb="FF00B050"/>
      </bottom>
      <diagonal/>
    </border>
    <border>
      <left style="thick">
        <color rgb="FF0070C0"/>
      </left>
      <right/>
      <top style="thick">
        <color rgb="FF80B8E0"/>
      </top>
      <bottom style="thin">
        <color auto="1"/>
      </bottom>
      <diagonal/>
    </border>
    <border>
      <left style="thick">
        <color rgb="FF0070C0"/>
      </left>
      <right/>
      <top style="thin">
        <color auto="1"/>
      </top>
      <bottom style="thin">
        <color auto="1"/>
      </bottom>
      <diagonal/>
    </border>
    <border>
      <left style="thick">
        <color rgb="FF0070C0"/>
      </left>
      <right/>
      <top style="thin">
        <color auto="1"/>
      </top>
      <bottom style="thick">
        <color rgb="FF80B8E0"/>
      </bottom>
      <diagonal/>
    </border>
    <border>
      <left/>
      <right style="thick">
        <color rgb="FF7030A0"/>
      </right>
      <top style="thick">
        <color rgb="FF7030A0"/>
      </top>
      <bottom style="thin">
        <color auto="1"/>
      </bottom>
      <diagonal/>
    </border>
    <border>
      <left/>
      <right style="thick">
        <color rgb="FF7030A0"/>
      </right>
      <top style="thin">
        <color auto="1"/>
      </top>
      <bottom style="thin">
        <color auto="1"/>
      </bottom>
      <diagonal/>
    </border>
    <border>
      <left/>
      <right style="thick">
        <color rgb="FF7030A0"/>
      </right>
      <top style="thin">
        <color auto="1"/>
      </top>
      <bottom style="thick">
        <color rgb="FF7030A0"/>
      </bottom>
      <diagonal/>
    </border>
    <border>
      <left style="thick">
        <color rgb="FF00B050"/>
      </left>
      <right/>
      <top style="thick">
        <color rgb="FF80D8A8"/>
      </top>
      <bottom style="thin">
        <color indexed="64"/>
      </bottom>
      <diagonal/>
    </border>
    <border>
      <left style="thick">
        <color rgb="FF00B050"/>
      </left>
      <right/>
      <top style="thin">
        <color indexed="64"/>
      </top>
      <bottom style="thin">
        <color indexed="64"/>
      </bottom>
      <diagonal/>
    </border>
    <border>
      <left style="thick">
        <color rgb="FF00B050"/>
      </left>
      <right/>
      <top style="thin">
        <color indexed="64"/>
      </top>
      <bottom style="thick">
        <color rgb="FF80D8A8"/>
      </bottom>
      <diagonal/>
    </border>
    <border>
      <left/>
      <right style="thick">
        <color indexed="64"/>
      </right>
      <top style="thick">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thick">
        <color indexed="64"/>
      </bottom>
      <diagonal/>
    </border>
    <border>
      <left style="thick">
        <color rgb="FF7030A0"/>
      </left>
      <right/>
      <top style="thick">
        <color rgb="FFB898D0"/>
      </top>
      <bottom style="thin">
        <color indexed="64"/>
      </bottom>
      <diagonal/>
    </border>
    <border>
      <left style="thick">
        <color rgb="FF7030A0"/>
      </left>
      <right style="thin">
        <color indexed="64"/>
      </right>
      <top style="thin">
        <color indexed="64"/>
      </top>
      <bottom style="thin">
        <color indexed="64"/>
      </bottom>
      <diagonal/>
    </border>
    <border>
      <left style="thick">
        <color rgb="FF7030A0"/>
      </left>
      <right/>
      <top style="thin">
        <color indexed="64"/>
      </top>
      <bottom style="thin">
        <color indexed="64"/>
      </bottom>
      <diagonal/>
    </border>
    <border>
      <left style="thick">
        <color rgb="FF7030A0"/>
      </left>
      <right/>
      <top style="thin">
        <color indexed="64"/>
      </top>
      <bottom style="thick">
        <color rgb="FFB898D0"/>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right style="thick">
        <color rgb="FFFF0000"/>
      </right>
      <top style="thin">
        <color rgb="FFFF0000"/>
      </top>
      <bottom style="thin">
        <color rgb="FFFF0000"/>
      </bottom>
      <diagonal/>
    </border>
    <border>
      <left/>
      <right style="thick">
        <color rgb="FFFF0000"/>
      </right>
      <top style="thick">
        <color rgb="FFFF0000"/>
      </top>
      <bottom style="thin">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style="medium">
        <color indexed="64"/>
      </left>
      <right style="thick">
        <color rgb="FFFF0000"/>
      </right>
      <top style="thin">
        <color rgb="FFFF0000"/>
      </top>
      <bottom style="thin">
        <color indexed="64"/>
      </bottom>
      <diagonal/>
    </border>
    <border>
      <left style="medium">
        <color indexed="64"/>
      </left>
      <right style="thick">
        <color rgb="FFFF0000"/>
      </right>
      <top style="thin">
        <color indexed="64"/>
      </top>
      <bottom style="thin">
        <color indexed="64"/>
      </bottom>
      <diagonal/>
    </border>
    <border>
      <left style="medium">
        <color indexed="64"/>
      </left>
      <right style="thick">
        <color rgb="FFFF0000"/>
      </right>
      <top style="thin">
        <color indexed="64"/>
      </top>
      <bottom style="thick">
        <color rgb="FFFF0000"/>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ck">
        <color indexed="64"/>
      </left>
      <right/>
      <top style="thick">
        <color indexed="64"/>
      </top>
      <bottom style="thick">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ck">
        <color rgb="FFFF0000"/>
      </right>
      <top style="thin">
        <color indexed="64"/>
      </top>
      <bottom/>
      <diagonal/>
    </border>
    <border>
      <left style="thick">
        <color rgb="FFFF0000"/>
      </left>
      <right/>
      <top style="thin">
        <color indexed="64"/>
      </top>
      <bottom/>
      <diagonal/>
    </border>
    <border>
      <left/>
      <right style="thick">
        <color rgb="FFFF8080"/>
      </right>
      <top style="thin">
        <color indexed="64"/>
      </top>
      <bottom/>
      <diagonal/>
    </border>
    <border>
      <left/>
      <right style="thick">
        <color rgb="FF0070C0"/>
      </right>
      <top style="thin">
        <color indexed="64"/>
      </top>
      <bottom/>
      <diagonal/>
    </border>
    <border>
      <left style="thick">
        <color rgb="FF0070C0"/>
      </left>
      <right/>
      <top style="thin">
        <color auto="1"/>
      </top>
      <bottom/>
      <diagonal/>
    </border>
    <border>
      <left/>
      <right style="thick">
        <color rgb="FF80B8E0"/>
      </right>
      <top style="thin">
        <color indexed="64"/>
      </top>
      <bottom/>
      <diagonal/>
    </border>
    <border>
      <left/>
      <right style="thick">
        <color rgb="FF00B050"/>
      </right>
      <top style="thin">
        <color indexed="64"/>
      </top>
      <bottom/>
      <diagonal/>
    </border>
    <border>
      <left style="thick">
        <color rgb="FF00B050"/>
      </left>
      <right/>
      <top style="thin">
        <color indexed="64"/>
      </top>
      <bottom/>
      <diagonal/>
    </border>
    <border>
      <left/>
      <right style="thick">
        <color rgb="FF80D8A8"/>
      </right>
      <top style="thin">
        <color auto="1"/>
      </top>
      <bottom/>
      <diagonal/>
    </border>
    <border>
      <left/>
      <right style="thick">
        <color rgb="FF7030A0"/>
      </right>
      <top style="thin">
        <color auto="1"/>
      </top>
      <bottom/>
      <diagonal/>
    </border>
    <border>
      <left style="thick">
        <color rgb="FF7030A0"/>
      </left>
      <right/>
      <top style="thin">
        <color indexed="64"/>
      </top>
      <bottom/>
      <diagonal/>
    </border>
    <border>
      <left/>
      <right style="thick">
        <color rgb="FFB898D0"/>
      </right>
      <top style="thin">
        <color indexed="64"/>
      </top>
      <bottom/>
      <diagonal/>
    </border>
    <border>
      <left/>
      <right style="thick">
        <color indexed="64"/>
      </right>
      <top style="thin">
        <color indexed="64"/>
      </top>
      <bottom/>
      <diagonal/>
    </border>
    <border>
      <left style="thick">
        <color rgb="FF808080"/>
      </left>
      <right/>
      <top style="thin">
        <color indexed="64"/>
      </top>
      <bottom/>
      <diagonal/>
    </border>
    <border>
      <left/>
      <right style="thick">
        <color rgb="FF808080"/>
      </right>
      <top style="thin">
        <color indexed="64"/>
      </top>
      <bottom/>
      <diagonal/>
    </border>
    <border>
      <left/>
      <right/>
      <top style="medium">
        <color indexed="64"/>
      </top>
      <bottom style="thin">
        <color indexed="64"/>
      </bottom>
      <diagonal/>
    </border>
    <border>
      <left style="medium">
        <color indexed="64"/>
      </left>
      <right style="thick">
        <color rgb="FFFF0000"/>
      </right>
      <top style="medium">
        <color indexed="64"/>
      </top>
      <bottom style="thin">
        <color indexed="64"/>
      </bottom>
      <diagonal/>
    </border>
    <border>
      <left style="thick">
        <color rgb="FFFF0000"/>
      </left>
      <right/>
      <top style="medium">
        <color indexed="64"/>
      </top>
      <bottom style="thin">
        <color indexed="64"/>
      </bottom>
      <diagonal/>
    </border>
    <border>
      <left/>
      <right style="thick">
        <color rgb="FFFF8080"/>
      </right>
      <top style="medium">
        <color indexed="64"/>
      </top>
      <bottom style="thin">
        <color indexed="64"/>
      </bottom>
      <diagonal/>
    </border>
    <border>
      <left/>
      <right style="thick">
        <color rgb="FF0070C0"/>
      </right>
      <top style="medium">
        <color indexed="64"/>
      </top>
      <bottom style="thin">
        <color indexed="64"/>
      </bottom>
      <diagonal/>
    </border>
    <border>
      <left style="thick">
        <color rgb="FF0070C0"/>
      </left>
      <right/>
      <top style="medium">
        <color indexed="64"/>
      </top>
      <bottom style="thin">
        <color auto="1"/>
      </bottom>
      <diagonal/>
    </border>
    <border>
      <left/>
      <right style="thick">
        <color rgb="FF80B8E0"/>
      </right>
      <top style="medium">
        <color indexed="64"/>
      </top>
      <bottom style="thin">
        <color indexed="64"/>
      </bottom>
      <diagonal/>
    </border>
    <border>
      <left/>
      <right style="thick">
        <color rgb="FF00B050"/>
      </right>
      <top style="medium">
        <color indexed="64"/>
      </top>
      <bottom style="thin">
        <color indexed="64"/>
      </bottom>
      <diagonal/>
    </border>
    <border>
      <left style="thick">
        <color rgb="FF00B050"/>
      </left>
      <right/>
      <top style="medium">
        <color indexed="64"/>
      </top>
      <bottom style="thin">
        <color indexed="64"/>
      </bottom>
      <diagonal/>
    </border>
    <border>
      <left/>
      <right style="thick">
        <color rgb="FF80D8A8"/>
      </right>
      <top style="medium">
        <color indexed="64"/>
      </top>
      <bottom style="thin">
        <color auto="1"/>
      </bottom>
      <diagonal/>
    </border>
    <border>
      <left/>
      <right style="thick">
        <color rgb="FF7030A0"/>
      </right>
      <top style="medium">
        <color indexed="64"/>
      </top>
      <bottom style="thin">
        <color auto="1"/>
      </bottom>
      <diagonal/>
    </border>
    <border>
      <left style="thick">
        <color rgb="FF7030A0"/>
      </left>
      <right/>
      <top style="medium">
        <color indexed="64"/>
      </top>
      <bottom style="thin">
        <color indexed="64"/>
      </bottom>
      <diagonal/>
    </border>
    <border>
      <left/>
      <right style="thick">
        <color rgb="FFB898D0"/>
      </right>
      <top style="medium">
        <color indexed="64"/>
      </top>
      <bottom style="thin">
        <color indexed="64"/>
      </bottom>
      <diagonal/>
    </border>
    <border>
      <left/>
      <right style="thick">
        <color indexed="64"/>
      </right>
      <top style="medium">
        <color indexed="64"/>
      </top>
      <bottom style="thin">
        <color indexed="64"/>
      </bottom>
      <diagonal/>
    </border>
    <border>
      <left style="thick">
        <color rgb="FF808080"/>
      </left>
      <right/>
      <top style="medium">
        <color indexed="64"/>
      </top>
      <bottom style="thin">
        <color indexed="64"/>
      </bottom>
      <diagonal/>
    </border>
    <border>
      <left/>
      <right style="thick">
        <color rgb="FF808080"/>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auto="1"/>
      </left>
      <right/>
      <top/>
      <bottom/>
      <diagonal/>
    </border>
    <border>
      <left style="thick">
        <color auto="1"/>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medium">
        <color rgb="FF808080"/>
      </left>
      <right/>
      <top style="medium">
        <color rgb="FF808080"/>
      </top>
      <bottom style="thin">
        <color indexed="64"/>
      </bottom>
      <diagonal/>
    </border>
    <border>
      <left style="thin">
        <color indexed="64"/>
      </left>
      <right style="medium">
        <color rgb="FF808080"/>
      </right>
      <top style="medium">
        <color rgb="FF808080"/>
      </top>
      <bottom style="thin">
        <color indexed="64"/>
      </bottom>
      <diagonal/>
    </border>
    <border>
      <left style="medium">
        <color rgb="FF808080"/>
      </left>
      <right/>
      <top style="thin">
        <color indexed="64"/>
      </top>
      <bottom style="thin">
        <color indexed="64"/>
      </bottom>
      <diagonal/>
    </border>
    <border>
      <left style="thin">
        <color indexed="64"/>
      </left>
      <right style="medium">
        <color rgb="FF808080"/>
      </right>
      <top style="thin">
        <color indexed="64"/>
      </top>
      <bottom style="thin">
        <color indexed="64"/>
      </bottom>
      <diagonal/>
    </border>
    <border>
      <left style="medium">
        <color rgb="FF808080"/>
      </left>
      <right/>
      <top/>
      <bottom/>
      <diagonal/>
    </border>
    <border>
      <left style="thin">
        <color indexed="64"/>
      </left>
      <right style="medium">
        <color rgb="FF808080"/>
      </right>
      <top style="thin">
        <color indexed="64"/>
      </top>
      <bottom/>
      <diagonal/>
    </border>
    <border>
      <left/>
      <right style="medium">
        <color rgb="FF808080"/>
      </right>
      <top style="thin">
        <color indexed="64"/>
      </top>
      <bottom style="thin">
        <color indexed="64"/>
      </bottom>
      <diagonal/>
    </border>
    <border>
      <left style="medium">
        <color rgb="FF808080"/>
      </left>
      <right/>
      <top style="thin">
        <color indexed="64"/>
      </top>
      <bottom style="medium">
        <color rgb="FF808080"/>
      </bottom>
      <diagonal/>
    </border>
    <border>
      <left/>
      <right style="medium">
        <color rgb="FF808080"/>
      </right>
      <top style="thin">
        <color indexed="64"/>
      </top>
      <bottom style="medium">
        <color rgb="FF808080"/>
      </bottom>
      <diagonal/>
    </border>
    <border>
      <left/>
      <right style="medium">
        <color rgb="FF808080"/>
      </right>
      <top style="medium">
        <color rgb="FF808080"/>
      </top>
      <bottom style="thin">
        <color indexed="64"/>
      </bottom>
      <diagonal/>
    </border>
    <border>
      <left style="thick">
        <color auto="1"/>
      </left>
      <right style="thin">
        <color indexed="64"/>
      </right>
      <top style="thin">
        <color indexed="64"/>
      </top>
      <bottom/>
      <diagonal/>
    </border>
    <border>
      <left style="thick">
        <color auto="1"/>
      </left>
      <right style="thin">
        <color indexed="64"/>
      </right>
      <top/>
      <bottom style="thin">
        <color indexed="64"/>
      </bottom>
      <diagonal/>
    </border>
  </borders>
  <cellStyleXfs count="2">
    <xf numFmtId="0" fontId="0" fillId="0" borderId="0"/>
    <xf numFmtId="0" fontId="24" fillId="0" borderId="0" applyNumberFormat="0" applyFill="0" applyBorder="0" applyAlignment="0" applyProtection="0"/>
  </cellStyleXfs>
  <cellXfs count="366">
    <xf numFmtId="0" fontId="0" fillId="0" borderId="0" xfId="0"/>
    <xf numFmtId="0" fontId="0" fillId="0" borderId="1" xfId="0" applyBorder="1"/>
    <xf numFmtId="0" fontId="0" fillId="2" borderId="1" xfId="0" applyFill="1" applyBorder="1"/>
    <xf numFmtId="0" fontId="0" fillId="2" borderId="1" xfId="0" quotePrefix="1" applyFill="1" applyBorder="1"/>
    <xf numFmtId="0" fontId="0" fillId="0" borderId="1" xfId="0" quotePrefix="1" applyBorder="1"/>
    <xf numFmtId="0" fontId="0" fillId="4" borderId="1" xfId="0" applyFill="1" applyBorder="1"/>
    <xf numFmtId="0" fontId="0" fillId="0" borderId="1" xfId="0" applyBorder="1" applyAlignment="1">
      <alignment horizontal="left"/>
    </xf>
    <xf numFmtId="0" fontId="1" fillId="0" borderId="0" xfId="0" applyFont="1"/>
    <xf numFmtId="0" fontId="18" fillId="0" borderId="7" xfId="0" applyFont="1" applyBorder="1" applyAlignment="1" applyProtection="1">
      <alignment horizontal="center"/>
      <protection locked="0"/>
    </xf>
    <xf numFmtId="0" fontId="16" fillId="0" borderId="4" xfId="0" applyFont="1" applyBorder="1" applyAlignment="1" applyProtection="1">
      <alignment horizontal="center"/>
      <protection locked="0"/>
    </xf>
    <xf numFmtId="0" fontId="20" fillId="0" borderId="15" xfId="0" applyFont="1" applyBorder="1" applyAlignment="1" applyProtection="1">
      <alignment horizontal="center"/>
      <protection locked="0"/>
    </xf>
    <xf numFmtId="0" fontId="22" fillId="0" borderId="21" xfId="0" applyFont="1" applyBorder="1" applyAlignment="1" applyProtection="1">
      <alignment horizontal="center"/>
      <protection locked="0"/>
    </xf>
    <xf numFmtId="0" fontId="22" fillId="3" borderId="20" xfId="0" applyFont="1" applyFill="1" applyBorder="1" applyAlignment="1">
      <alignment horizontal="center"/>
    </xf>
    <xf numFmtId="0" fontId="14" fillId="0" borderId="10" xfId="0" applyFont="1" applyBorder="1" applyAlignment="1" applyProtection="1">
      <alignment horizontal="center"/>
      <protection locked="0"/>
    </xf>
    <xf numFmtId="0" fontId="4" fillId="0" borderId="27" xfId="0" applyFont="1" applyBorder="1" applyAlignment="1" applyProtection="1">
      <alignment horizontal="center" vertical="center" wrapText="1"/>
      <protection locked="0"/>
    </xf>
    <xf numFmtId="0" fontId="5" fillId="0" borderId="27" xfId="0" applyFont="1" applyBorder="1" applyAlignment="1" applyProtection="1">
      <alignment horizontal="center"/>
      <protection locked="0"/>
    </xf>
    <xf numFmtId="2" fontId="5" fillId="3" borderId="27" xfId="0" applyNumberFormat="1" applyFont="1" applyFill="1" applyBorder="1" applyAlignment="1">
      <alignment horizontal="center"/>
    </xf>
    <xf numFmtId="0" fontId="5" fillId="0" borderId="28" xfId="0" applyFont="1" applyBorder="1" applyAlignment="1" applyProtection="1">
      <alignment horizontal="center"/>
      <protection locked="0"/>
    </xf>
    <xf numFmtId="2" fontId="14" fillId="3" borderId="30" xfId="0" applyNumberFormat="1" applyFont="1" applyFill="1" applyBorder="1" applyAlignment="1">
      <alignment horizontal="center"/>
    </xf>
    <xf numFmtId="0" fontId="9" fillId="0" borderId="33" xfId="0" applyFont="1" applyBorder="1" applyAlignment="1" applyProtection="1">
      <alignment horizontal="center" vertical="center" wrapText="1"/>
      <protection locked="0"/>
    </xf>
    <xf numFmtId="0" fontId="8" fillId="0" borderId="33" xfId="0" applyFont="1" applyBorder="1" applyAlignment="1" applyProtection="1">
      <alignment horizontal="center"/>
      <protection locked="0"/>
    </xf>
    <xf numFmtId="2" fontId="8" fillId="3" borderId="33" xfId="0" applyNumberFormat="1" applyFont="1" applyFill="1" applyBorder="1" applyAlignment="1">
      <alignment horizontal="center"/>
    </xf>
    <xf numFmtId="0" fontId="8" fillId="0" borderId="34" xfId="0" applyFont="1" applyBorder="1" applyAlignment="1" applyProtection="1">
      <alignment horizontal="center"/>
      <protection locked="0"/>
    </xf>
    <xf numFmtId="0" fontId="16" fillId="3" borderId="36" xfId="0" applyFont="1" applyFill="1" applyBorder="1" applyAlignment="1">
      <alignment horizontal="center"/>
    </xf>
    <xf numFmtId="0" fontId="11" fillId="0" borderId="39" xfId="0" applyFont="1" applyBorder="1" applyAlignment="1" applyProtection="1">
      <alignment horizontal="center" vertical="center" wrapText="1"/>
      <protection locked="0"/>
    </xf>
    <xf numFmtId="0" fontId="12" fillId="0" borderId="39" xfId="0" applyFont="1" applyBorder="1" applyAlignment="1" applyProtection="1">
      <alignment horizontal="center"/>
      <protection locked="0"/>
    </xf>
    <xf numFmtId="2" fontId="12" fillId="3" borderId="39" xfId="0" applyNumberFormat="1" applyFont="1" applyFill="1" applyBorder="1" applyAlignment="1">
      <alignment horizontal="center"/>
    </xf>
    <xf numFmtId="0" fontId="12" fillId="0" borderId="40" xfId="0" applyFont="1" applyBorder="1" applyAlignment="1" applyProtection="1">
      <alignment horizontal="center"/>
      <protection locked="0"/>
    </xf>
    <xf numFmtId="0" fontId="18" fillId="3" borderId="42" xfId="0" applyFont="1" applyFill="1" applyBorder="1" applyAlignment="1">
      <alignment horizontal="center"/>
    </xf>
    <xf numFmtId="0" fontId="3" fillId="0" borderId="45" xfId="0" applyFont="1" applyBorder="1" applyAlignment="1" applyProtection="1">
      <alignment horizontal="center" vertical="center" wrapText="1"/>
      <protection locked="0"/>
    </xf>
    <xf numFmtId="0" fontId="23" fillId="0" borderId="45" xfId="0" applyFont="1" applyBorder="1" applyAlignment="1" applyProtection="1">
      <alignment horizontal="center"/>
      <protection locked="0"/>
    </xf>
    <xf numFmtId="2" fontId="23" fillId="3" borderId="45" xfId="0" applyNumberFormat="1" applyFont="1" applyFill="1" applyBorder="1" applyAlignment="1">
      <alignment horizontal="center"/>
    </xf>
    <xf numFmtId="0" fontId="23" fillId="0" borderId="46" xfId="0" applyFont="1" applyBorder="1" applyAlignment="1" applyProtection="1">
      <alignment horizontal="center"/>
      <protection locked="0"/>
    </xf>
    <xf numFmtId="0" fontId="20" fillId="3" borderId="48" xfId="0" applyFont="1" applyFill="1" applyBorder="1" applyAlignment="1">
      <alignment horizontal="center"/>
    </xf>
    <xf numFmtId="2" fontId="6" fillId="3" borderId="0" xfId="0" applyNumberFormat="1" applyFont="1" applyFill="1" applyAlignment="1">
      <alignment horizontal="center"/>
    </xf>
    <xf numFmtId="0" fontId="0" fillId="0" borderId="56" xfId="0" applyBorder="1" applyAlignment="1" applyProtection="1">
      <alignment horizontal="center"/>
      <protection locked="0"/>
    </xf>
    <xf numFmtId="0" fontId="0" fillId="3" borderId="64" xfId="0" applyFill="1" applyBorder="1"/>
    <xf numFmtId="0" fontId="0" fillId="3" borderId="66" xfId="0" applyFill="1" applyBorder="1"/>
    <xf numFmtId="0" fontId="2" fillId="3" borderId="61" xfId="0" applyFont="1" applyFill="1" applyBorder="1" applyAlignment="1">
      <alignment horizontal="center" vertical="center" textRotation="90"/>
    </xf>
    <xf numFmtId="0" fontId="6" fillId="0" borderId="0" xfId="0" applyFont="1"/>
    <xf numFmtId="0" fontId="10" fillId="3" borderId="0" xfId="0" applyFont="1" applyFill="1" applyAlignment="1">
      <alignment horizontal="center" vertical="center" wrapText="1"/>
    </xf>
    <xf numFmtId="0" fontId="10" fillId="3" borderId="0" xfId="0" applyFont="1" applyFill="1" applyAlignment="1">
      <alignment horizontal="center" vertical="center"/>
    </xf>
    <xf numFmtId="0" fontId="10" fillId="0" borderId="0" xfId="0" applyFont="1" applyAlignment="1" applyProtection="1">
      <alignment horizontal="center" vertical="center" wrapText="1"/>
      <protection locked="0"/>
    </xf>
    <xf numFmtId="0" fontId="6" fillId="0" borderId="0" xfId="0" applyFont="1" applyAlignment="1" applyProtection="1">
      <alignment horizontal="center"/>
      <protection locked="0"/>
    </xf>
    <xf numFmtId="0" fontId="6" fillId="3" borderId="0" xfId="0" applyFont="1" applyFill="1" applyAlignment="1">
      <alignment horizontal="center"/>
    </xf>
    <xf numFmtId="2" fontId="6" fillId="3" borderId="0" xfId="0" applyNumberFormat="1" applyFont="1" applyFill="1" applyAlignment="1" applyProtection="1">
      <alignment horizontal="center"/>
      <protection locked="0"/>
    </xf>
    <xf numFmtId="0" fontId="0" fillId="0" borderId="0" xfId="0" applyProtection="1">
      <protection locked="0"/>
    </xf>
    <xf numFmtId="0" fontId="4" fillId="3" borderId="51" xfId="0" applyFont="1" applyFill="1" applyBorder="1" applyAlignment="1">
      <alignment horizontal="center" vertical="center" wrapText="1"/>
    </xf>
    <xf numFmtId="0" fontId="4" fillId="3" borderId="52" xfId="0" applyFont="1" applyFill="1" applyBorder="1" applyAlignment="1">
      <alignment horizontal="center" vertical="center"/>
    </xf>
    <xf numFmtId="0" fontId="4" fillId="0" borderId="52" xfId="0" applyFont="1" applyBorder="1" applyAlignment="1" applyProtection="1">
      <alignment horizontal="center" vertical="center" wrapText="1"/>
      <protection locked="0"/>
    </xf>
    <xf numFmtId="0" fontId="5" fillId="0" borderId="52" xfId="0" applyFont="1" applyBorder="1" applyAlignment="1" applyProtection="1">
      <alignment horizontal="center"/>
      <protection locked="0"/>
    </xf>
    <xf numFmtId="2" fontId="5" fillId="3" borderId="52" xfId="0" applyNumberFormat="1" applyFont="1" applyFill="1" applyBorder="1" applyAlignment="1">
      <alignment horizontal="center"/>
    </xf>
    <xf numFmtId="0" fontId="5" fillId="3" borderId="52" xfId="0" applyFont="1" applyFill="1" applyBorder="1" applyAlignment="1" applyProtection="1">
      <alignment horizontal="center"/>
      <protection locked="0"/>
    </xf>
    <xf numFmtId="2" fontId="5" fillId="3" borderId="52" xfId="0" applyNumberFormat="1" applyFont="1" applyFill="1" applyBorder="1" applyAlignment="1" applyProtection="1">
      <alignment horizontal="center"/>
      <protection locked="0"/>
    </xf>
    <xf numFmtId="0" fontId="5" fillId="0" borderId="77" xfId="0" applyFont="1" applyBorder="1" applyAlignment="1" applyProtection="1">
      <alignment horizontal="center"/>
      <protection locked="0"/>
    </xf>
    <xf numFmtId="0" fontId="9" fillId="3" borderId="51" xfId="0" applyFont="1" applyFill="1" applyBorder="1" applyAlignment="1">
      <alignment horizontal="center" vertical="center" wrapText="1"/>
    </xf>
    <xf numFmtId="0" fontId="9" fillId="3" borderId="52" xfId="0" applyFont="1" applyFill="1" applyBorder="1" applyAlignment="1">
      <alignment horizontal="center" vertical="center"/>
    </xf>
    <xf numFmtId="0" fontId="9" fillId="0" borderId="52" xfId="0" applyFont="1" applyBorder="1" applyAlignment="1" applyProtection="1">
      <alignment horizontal="center" vertical="center" wrapText="1"/>
      <protection locked="0"/>
    </xf>
    <xf numFmtId="0" fontId="8" fillId="0" borderId="52" xfId="0" applyFont="1" applyBorder="1" applyAlignment="1" applyProtection="1">
      <alignment horizontal="center"/>
      <protection locked="0"/>
    </xf>
    <xf numFmtId="2" fontId="8" fillId="3" borderId="52" xfId="0" applyNumberFormat="1" applyFont="1" applyFill="1" applyBorder="1" applyAlignment="1">
      <alignment horizontal="center"/>
    </xf>
    <xf numFmtId="0" fontId="8" fillId="3" borderId="52" xfId="0" applyFont="1" applyFill="1" applyBorder="1" applyAlignment="1" applyProtection="1">
      <alignment horizontal="center"/>
      <protection locked="0"/>
    </xf>
    <xf numFmtId="2" fontId="8" fillId="3" borderId="52" xfId="0" applyNumberFormat="1" applyFont="1" applyFill="1" applyBorder="1" applyAlignment="1" applyProtection="1">
      <alignment horizontal="center"/>
      <protection locked="0"/>
    </xf>
    <xf numFmtId="0" fontId="8" fillId="0" borderId="77" xfId="0" applyFont="1" applyBorder="1" applyAlignment="1" applyProtection="1">
      <alignment horizontal="center"/>
      <protection locked="0"/>
    </xf>
    <xf numFmtId="0" fontId="11" fillId="3" borderId="51" xfId="0" applyFont="1" applyFill="1" applyBorder="1" applyAlignment="1">
      <alignment horizontal="center" vertical="center" wrapText="1"/>
    </xf>
    <xf numFmtId="0" fontId="11" fillId="3" borderId="52" xfId="0" applyFont="1" applyFill="1" applyBorder="1" applyAlignment="1">
      <alignment horizontal="center" vertical="center" wrapText="1"/>
    </xf>
    <xf numFmtId="0" fontId="11" fillId="0" borderId="52" xfId="0" applyFont="1" applyBorder="1" applyAlignment="1" applyProtection="1">
      <alignment horizontal="center" vertical="center" wrapText="1"/>
      <protection locked="0"/>
    </xf>
    <xf numFmtId="0" fontId="12" fillId="0" borderId="52" xfId="0" applyFont="1" applyBorder="1" applyAlignment="1" applyProtection="1">
      <alignment horizontal="center"/>
      <protection locked="0"/>
    </xf>
    <xf numFmtId="2" fontId="12" fillId="3" borderId="52" xfId="0" applyNumberFormat="1" applyFont="1" applyFill="1" applyBorder="1" applyAlignment="1">
      <alignment horizontal="center"/>
    </xf>
    <xf numFmtId="0" fontId="12" fillId="3" borderId="52" xfId="0" applyFont="1" applyFill="1" applyBorder="1" applyAlignment="1" applyProtection="1">
      <alignment horizontal="center"/>
      <protection locked="0"/>
    </xf>
    <xf numFmtId="2" fontId="12" fillId="3" borderId="52" xfId="0" applyNumberFormat="1" applyFont="1" applyFill="1" applyBorder="1" applyAlignment="1" applyProtection="1">
      <alignment horizontal="center"/>
      <protection locked="0"/>
    </xf>
    <xf numFmtId="0" fontId="12" fillId="0" borderId="77" xfId="0" applyFont="1" applyBorder="1" applyAlignment="1" applyProtection="1">
      <alignment horizontal="center"/>
      <protection locked="0"/>
    </xf>
    <xf numFmtId="0" fontId="3" fillId="3" borderId="51" xfId="0" applyFont="1" applyFill="1" applyBorder="1" applyAlignment="1">
      <alignment horizontal="center" vertical="center" wrapText="1"/>
    </xf>
    <xf numFmtId="0" fontId="3" fillId="3" borderId="52" xfId="0" applyFont="1" applyFill="1" applyBorder="1" applyAlignment="1">
      <alignment horizontal="center" vertical="center" wrapText="1"/>
    </xf>
    <xf numFmtId="0" fontId="3" fillId="0" borderId="52" xfId="0" applyFont="1" applyBorder="1" applyAlignment="1" applyProtection="1">
      <alignment horizontal="center" vertical="center" wrapText="1"/>
      <protection locked="0"/>
    </xf>
    <xf numFmtId="0" fontId="23" fillId="0" borderId="52" xfId="0" applyFont="1" applyBorder="1" applyAlignment="1" applyProtection="1">
      <alignment horizontal="center"/>
      <protection locked="0"/>
    </xf>
    <xf numFmtId="2" fontId="23" fillId="3" borderId="52" xfId="0" applyNumberFormat="1" applyFont="1" applyFill="1" applyBorder="1" applyAlignment="1">
      <alignment horizontal="center"/>
    </xf>
    <xf numFmtId="0" fontId="23" fillId="3" borderId="52" xfId="0" applyFont="1" applyFill="1" applyBorder="1" applyAlignment="1" applyProtection="1">
      <alignment horizontal="center"/>
      <protection locked="0"/>
    </xf>
    <xf numFmtId="2" fontId="23" fillId="3" borderId="52" xfId="0" applyNumberFormat="1" applyFont="1" applyFill="1" applyBorder="1" applyAlignment="1" applyProtection="1">
      <alignment horizontal="center"/>
      <protection locked="0"/>
    </xf>
    <xf numFmtId="0" fontId="23" fillId="0" borderId="77" xfId="0" applyFont="1" applyBorder="1" applyAlignment="1" applyProtection="1">
      <alignment horizontal="center"/>
      <protection locked="0"/>
    </xf>
    <xf numFmtId="0" fontId="10" fillId="0" borderId="78" xfId="0" applyFont="1" applyBorder="1" applyAlignment="1" applyProtection="1">
      <alignment horizontal="center" vertical="center" wrapText="1"/>
      <protection locked="0"/>
    </xf>
    <xf numFmtId="0" fontId="6" fillId="0" borderId="79" xfId="0" applyFont="1" applyBorder="1" applyAlignment="1" applyProtection="1">
      <alignment horizontal="center"/>
      <protection locked="0"/>
    </xf>
    <xf numFmtId="0" fontId="6" fillId="3" borderId="79" xfId="0" applyFont="1" applyFill="1" applyBorder="1" applyAlignment="1">
      <alignment horizontal="center"/>
    </xf>
    <xf numFmtId="2" fontId="6" fillId="3" borderId="79" xfId="0" applyNumberFormat="1" applyFont="1" applyFill="1" applyBorder="1" applyAlignment="1">
      <alignment horizontal="center"/>
    </xf>
    <xf numFmtId="0" fontId="6" fillId="0" borderId="80" xfId="0" applyFont="1" applyBorder="1" applyAlignment="1" applyProtection="1">
      <alignment horizontal="center"/>
      <protection locked="0"/>
    </xf>
    <xf numFmtId="0" fontId="2" fillId="3" borderId="62" xfId="0" applyFont="1" applyFill="1" applyBorder="1" applyAlignment="1">
      <alignment horizontal="center" vertical="center" textRotation="90"/>
    </xf>
    <xf numFmtId="0" fontId="0" fillId="0" borderId="65" xfId="0" applyBorder="1" applyAlignment="1">
      <alignment horizontal="center" wrapText="1"/>
    </xf>
    <xf numFmtId="0" fontId="0" fillId="4" borderId="0" xfId="0" applyFill="1"/>
    <xf numFmtId="0" fontId="5" fillId="3" borderId="27" xfId="0" applyFont="1" applyFill="1" applyBorder="1" applyAlignment="1">
      <alignment horizontal="center"/>
    </xf>
    <xf numFmtId="0" fontId="8" fillId="3" borderId="33" xfId="0" applyFont="1" applyFill="1" applyBorder="1" applyAlignment="1">
      <alignment horizontal="center"/>
    </xf>
    <xf numFmtId="0" fontId="12" fillId="3" borderId="39" xfId="0" applyFont="1" applyFill="1" applyBorder="1" applyAlignment="1">
      <alignment horizontal="center"/>
    </xf>
    <xf numFmtId="0" fontId="23" fillId="3" borderId="45" xfId="0" applyFont="1" applyFill="1" applyBorder="1" applyAlignment="1">
      <alignment horizontal="center"/>
    </xf>
    <xf numFmtId="0" fontId="2" fillId="3" borderId="83" xfId="0" applyFont="1" applyFill="1" applyBorder="1"/>
    <xf numFmtId="0" fontId="0" fillId="0" borderId="84" xfId="0" applyBorder="1" applyProtection="1">
      <protection locked="0"/>
    </xf>
    <xf numFmtId="0" fontId="2" fillId="0" borderId="85" xfId="0" applyFont="1" applyBorder="1"/>
    <xf numFmtId="0" fontId="0" fillId="3" borderId="62" xfId="0" applyFill="1" applyBorder="1"/>
    <xf numFmtId="0" fontId="0" fillId="0" borderId="87" xfId="0" applyBorder="1"/>
    <xf numFmtId="0" fontId="0" fillId="5" borderId="0" xfId="0" applyFill="1"/>
    <xf numFmtId="0" fontId="24" fillId="5" borderId="0" xfId="1" applyFill="1"/>
    <xf numFmtId="0" fontId="0" fillId="0" borderId="0" xfId="0" quotePrefix="1"/>
    <xf numFmtId="0" fontId="0" fillId="0" borderId="0" xfId="0" applyAlignment="1">
      <alignment horizontal="left"/>
    </xf>
    <xf numFmtId="0" fontId="2" fillId="3" borderId="51" xfId="0" applyFont="1" applyFill="1" applyBorder="1" applyAlignment="1">
      <alignment horizontal="center"/>
    </xf>
    <xf numFmtId="0" fontId="2" fillId="3" borderId="52" xfId="0" applyFont="1" applyFill="1" applyBorder="1" applyAlignment="1">
      <alignment horizontal="center"/>
    </xf>
    <xf numFmtId="0" fontId="2" fillId="3" borderId="77" xfId="0" applyFont="1" applyFill="1" applyBorder="1" applyAlignment="1">
      <alignment horizontal="center"/>
    </xf>
    <xf numFmtId="0" fontId="0" fillId="0" borderId="0" xfId="0" applyAlignment="1">
      <alignment horizontal="center"/>
    </xf>
    <xf numFmtId="0" fontId="2" fillId="0" borderId="0" xfId="0" applyFont="1" applyAlignment="1">
      <alignment horizontal="center"/>
    </xf>
    <xf numFmtId="0" fontId="1" fillId="3" borderId="54" xfId="0" applyFont="1" applyFill="1" applyBorder="1" applyAlignment="1">
      <alignment vertical="center"/>
    </xf>
    <xf numFmtId="0" fontId="0" fillId="3" borderId="89" xfId="0" applyFill="1" applyBorder="1" applyAlignment="1">
      <alignment horizontal="center" vertical="center"/>
    </xf>
    <xf numFmtId="0" fontId="0" fillId="3" borderId="54" xfId="0" applyFill="1" applyBorder="1" applyAlignment="1">
      <alignment horizontal="center" vertical="center"/>
    </xf>
    <xf numFmtId="0" fontId="0" fillId="3" borderId="55" xfId="0" applyFill="1" applyBorder="1" applyAlignment="1">
      <alignment horizontal="center" vertical="center"/>
    </xf>
    <xf numFmtId="0" fontId="2" fillId="3" borderId="90" xfId="0" applyFont="1" applyFill="1" applyBorder="1" applyAlignment="1">
      <alignment horizontal="center"/>
    </xf>
    <xf numFmtId="2" fontId="6" fillId="3" borderId="94" xfId="0" applyNumberFormat="1" applyFont="1" applyFill="1" applyBorder="1" applyAlignment="1">
      <alignment horizontal="center"/>
    </xf>
    <xf numFmtId="2" fontId="5" fillId="3" borderId="97" xfId="0" applyNumberFormat="1" applyFont="1" applyFill="1" applyBorder="1" applyAlignment="1">
      <alignment horizontal="center"/>
    </xf>
    <xf numFmtId="2" fontId="5" fillId="3" borderId="77" xfId="0" applyNumberFormat="1" applyFont="1" applyFill="1" applyBorder="1" applyAlignment="1">
      <alignment horizontal="center"/>
    </xf>
    <xf numFmtId="2" fontId="8" fillId="3" borderId="100" xfId="0" applyNumberFormat="1" applyFont="1" applyFill="1" applyBorder="1" applyAlignment="1">
      <alignment horizontal="center"/>
    </xf>
    <xf numFmtId="2" fontId="8" fillId="3" borderId="77" xfId="0" applyNumberFormat="1" applyFont="1" applyFill="1" applyBorder="1" applyAlignment="1">
      <alignment horizontal="center"/>
    </xf>
    <xf numFmtId="2" fontId="12" fillId="3" borderId="103" xfId="0" applyNumberFormat="1" applyFont="1" applyFill="1" applyBorder="1" applyAlignment="1">
      <alignment horizontal="center"/>
    </xf>
    <xf numFmtId="2" fontId="12" fillId="3" borderId="77" xfId="0" applyNumberFormat="1" applyFont="1" applyFill="1" applyBorder="1" applyAlignment="1">
      <alignment horizontal="center"/>
    </xf>
    <xf numFmtId="2" fontId="23" fillId="3" borderId="106" xfId="0" applyNumberFormat="1" applyFont="1" applyFill="1" applyBorder="1" applyAlignment="1">
      <alignment horizontal="center"/>
    </xf>
    <xf numFmtId="2" fontId="23" fillId="3" borderId="77" xfId="0" applyNumberFormat="1" applyFont="1" applyFill="1" applyBorder="1" applyAlignment="1">
      <alignment horizontal="center"/>
    </xf>
    <xf numFmtId="0" fontId="2" fillId="3" borderId="109" xfId="0" applyFont="1" applyFill="1" applyBorder="1" applyAlignment="1">
      <alignment horizontal="center"/>
    </xf>
    <xf numFmtId="0" fontId="6" fillId="0" borderId="110" xfId="0" applyFont="1" applyBorder="1" applyAlignment="1" applyProtection="1">
      <alignment horizontal="center"/>
      <protection locked="0"/>
    </xf>
    <xf numFmtId="2" fontId="6" fillId="3" borderId="60" xfId="0" applyNumberFormat="1" applyFont="1" applyFill="1" applyBorder="1" applyAlignment="1">
      <alignment horizontal="center"/>
    </xf>
    <xf numFmtId="0" fontId="5" fillId="0" borderId="113" xfId="0" applyFont="1" applyBorder="1" applyAlignment="1" applyProtection="1">
      <alignment horizontal="center"/>
      <protection locked="0"/>
    </xf>
    <xf numFmtId="2" fontId="5" fillId="3" borderId="109" xfId="0" applyNumberFormat="1" applyFont="1" applyFill="1" applyBorder="1" applyAlignment="1">
      <alignment horizontal="center"/>
    </xf>
    <xf numFmtId="0" fontId="8" fillId="0" borderId="116" xfId="0" applyFont="1" applyBorder="1" applyAlignment="1" applyProtection="1">
      <alignment horizontal="center"/>
      <protection locked="0"/>
    </xf>
    <xf numFmtId="2" fontId="8" fillId="3" borderId="109" xfId="0" applyNumberFormat="1" applyFont="1" applyFill="1" applyBorder="1" applyAlignment="1">
      <alignment horizontal="center"/>
    </xf>
    <xf numFmtId="0" fontId="12" fillId="0" borderId="119" xfId="0" applyFont="1" applyBorder="1" applyAlignment="1" applyProtection="1">
      <alignment horizontal="center"/>
      <protection locked="0"/>
    </xf>
    <xf numFmtId="2" fontId="12" fillId="3" borderId="109" xfId="0" applyNumberFormat="1" applyFont="1" applyFill="1" applyBorder="1" applyAlignment="1">
      <alignment horizontal="center"/>
    </xf>
    <xf numFmtId="0" fontId="23" fillId="0" borderId="122" xfId="0" applyFont="1" applyBorder="1" applyAlignment="1" applyProtection="1">
      <alignment horizontal="center"/>
      <protection locked="0"/>
    </xf>
    <xf numFmtId="2" fontId="23" fillId="3" borderId="109" xfId="0" applyNumberFormat="1" applyFont="1" applyFill="1" applyBorder="1" applyAlignment="1">
      <alignment horizontal="center"/>
    </xf>
    <xf numFmtId="0" fontId="2" fillId="3" borderId="53" xfId="0" applyFont="1" applyFill="1" applyBorder="1" applyAlignment="1">
      <alignment horizontal="center" vertical="center"/>
    </xf>
    <xf numFmtId="0" fontId="23" fillId="0" borderId="0" xfId="0" applyFont="1"/>
    <xf numFmtId="0" fontId="0" fillId="5" borderId="1" xfId="0" applyFill="1" applyBorder="1" applyAlignment="1">
      <alignment vertical="top" wrapText="1"/>
    </xf>
    <xf numFmtId="0" fontId="0" fillId="5" borderId="1" xfId="0" applyFill="1" applyBorder="1" applyAlignment="1">
      <alignment wrapText="1"/>
    </xf>
    <xf numFmtId="0" fontId="0" fillId="5" borderId="1" xfId="0" applyFill="1" applyBorder="1"/>
    <xf numFmtId="0" fontId="0" fillId="5" borderId="0" xfId="0" applyFill="1" applyAlignment="1">
      <alignment wrapText="1"/>
    </xf>
    <xf numFmtId="0" fontId="23" fillId="5" borderId="1" xfId="1" applyFont="1" applyFill="1" applyBorder="1" applyAlignment="1">
      <alignment wrapText="1"/>
    </xf>
    <xf numFmtId="0" fontId="2" fillId="5" borderId="0" xfId="0" applyFont="1" applyFill="1"/>
    <xf numFmtId="0" fontId="23" fillId="0" borderId="66" xfId="0" quotePrefix="1" applyFont="1" applyBorder="1" applyAlignment="1">
      <alignment vertical="center"/>
    </xf>
    <xf numFmtId="0" fontId="0" fillId="0" borderId="67" xfId="0" applyBorder="1" applyAlignment="1">
      <alignment wrapText="1"/>
    </xf>
    <xf numFmtId="0" fontId="23" fillId="0" borderId="66" xfId="0" applyFont="1" applyBorder="1" applyAlignment="1">
      <alignment vertical="center"/>
    </xf>
    <xf numFmtId="0" fontId="23" fillId="0" borderId="69" xfId="0" applyFont="1" applyBorder="1" applyAlignment="1">
      <alignment vertical="center"/>
    </xf>
    <xf numFmtId="0" fontId="0" fillId="0" borderId="70" xfId="0" applyBorder="1" applyAlignment="1">
      <alignment wrapText="1"/>
    </xf>
    <xf numFmtId="0" fontId="23" fillId="0" borderId="64" xfId="0" quotePrefix="1" applyFont="1" applyBorder="1" applyAlignment="1">
      <alignment vertical="center"/>
    </xf>
    <xf numFmtId="0" fontId="0" fillId="0" borderId="72" xfId="0" applyBorder="1" applyAlignment="1">
      <alignment wrapText="1"/>
    </xf>
    <xf numFmtId="0" fontId="2" fillId="5" borderId="85" xfId="0" applyFont="1" applyFill="1" applyBorder="1" applyAlignment="1">
      <alignment horizontal="center" wrapText="1"/>
    </xf>
    <xf numFmtId="0" fontId="3" fillId="0" borderId="125" xfId="0" applyFont="1" applyBorder="1" applyAlignment="1">
      <alignment horizontal="center" vertical="center"/>
    </xf>
    <xf numFmtId="0" fontId="0" fillId="5" borderId="1" xfId="0" applyFill="1" applyBorder="1" applyAlignment="1">
      <alignment horizontal="center" vertical="top"/>
    </xf>
    <xf numFmtId="0" fontId="2" fillId="3" borderId="73" xfId="0" applyFont="1" applyFill="1" applyBorder="1"/>
    <xf numFmtId="0" fontId="0" fillId="3" borderId="75" xfId="0" applyFill="1" applyBorder="1" applyAlignment="1">
      <alignment horizontal="center"/>
    </xf>
    <xf numFmtId="0" fontId="2" fillId="3" borderId="66" xfId="0" applyFont="1" applyFill="1" applyBorder="1"/>
    <xf numFmtId="0" fontId="0" fillId="3" borderId="67" xfId="0" applyFill="1" applyBorder="1" applyAlignment="1">
      <alignment horizontal="center"/>
    </xf>
    <xf numFmtId="0" fontId="2" fillId="3" borderId="69" xfId="0" applyFont="1" applyFill="1" applyBorder="1"/>
    <xf numFmtId="0" fontId="0" fillId="3" borderId="70" xfId="0" applyFill="1" applyBorder="1" applyAlignment="1">
      <alignment horizontal="center"/>
    </xf>
    <xf numFmtId="0" fontId="0" fillId="0" borderId="130" xfId="0" applyBorder="1"/>
    <xf numFmtId="0" fontId="0" fillId="0" borderId="92" xfId="0" applyBorder="1"/>
    <xf numFmtId="0" fontId="0" fillId="0" borderId="71" xfId="0" applyBorder="1"/>
    <xf numFmtId="0" fontId="2" fillId="3" borderId="131" xfId="0" applyFont="1" applyFill="1" applyBorder="1" applyAlignment="1">
      <alignment horizontal="center"/>
    </xf>
    <xf numFmtId="0" fontId="0" fillId="0" borderId="134" xfId="0" applyBorder="1"/>
    <xf numFmtId="0" fontId="0" fillId="0" borderId="135" xfId="0" applyBorder="1"/>
    <xf numFmtId="0" fontId="0" fillId="0" borderId="76" xfId="0" applyBorder="1"/>
    <xf numFmtId="0" fontId="0" fillId="2" borderId="135" xfId="0" quotePrefix="1" applyFill="1" applyBorder="1"/>
    <xf numFmtId="0" fontId="23" fillId="0" borderId="89" xfId="0" applyFont="1" applyBorder="1" applyAlignment="1" applyProtection="1">
      <alignment horizontal="center"/>
      <protection locked="0"/>
    </xf>
    <xf numFmtId="0" fontId="2" fillId="0" borderId="139" xfId="0" applyFont="1" applyBorder="1"/>
    <xf numFmtId="0" fontId="23" fillId="0" borderId="141" xfId="0" applyFont="1" applyBorder="1" applyAlignment="1" applyProtection="1">
      <alignment horizontal="center"/>
      <protection locked="0"/>
    </xf>
    <xf numFmtId="0" fontId="23" fillId="0" borderId="143" xfId="0" applyFont="1" applyBorder="1" applyAlignment="1" applyProtection="1">
      <alignment horizontal="center"/>
      <protection locked="0"/>
    </xf>
    <xf numFmtId="15" fontId="0" fillId="0" borderId="0" xfId="0" applyNumberFormat="1" applyAlignment="1">
      <alignment horizontal="left"/>
    </xf>
    <xf numFmtId="0" fontId="0" fillId="5" borderId="128" xfId="0" applyFill="1" applyBorder="1" applyAlignment="1" applyProtection="1">
      <alignment horizontal="center"/>
      <protection locked="0"/>
    </xf>
    <xf numFmtId="0" fontId="0" fillId="5" borderId="82" xfId="0" applyFill="1" applyBorder="1" applyAlignment="1" applyProtection="1">
      <alignment horizontal="center"/>
      <protection locked="0"/>
    </xf>
    <xf numFmtId="0" fontId="2" fillId="3" borderId="136" xfId="0" applyFont="1" applyFill="1" applyBorder="1" applyAlignment="1">
      <alignment horizontal="left"/>
    </xf>
    <xf numFmtId="0" fontId="0" fillId="5" borderId="56" xfId="0" applyFill="1" applyBorder="1" applyAlignment="1" applyProtection="1">
      <alignment horizontal="center"/>
      <protection locked="0"/>
    </xf>
    <xf numFmtId="0" fontId="2" fillId="3" borderId="126" xfId="0" applyFont="1" applyFill="1" applyBorder="1" applyAlignment="1">
      <alignment horizontal="center"/>
    </xf>
    <xf numFmtId="0" fontId="2" fillId="3" borderId="89" xfId="0" applyFont="1" applyFill="1" applyBorder="1" applyAlignment="1">
      <alignment horizontal="center"/>
    </xf>
    <xf numFmtId="0" fontId="2" fillId="3" borderId="137" xfId="0" applyFont="1" applyFill="1" applyBorder="1" applyAlignment="1">
      <alignment horizontal="left"/>
    </xf>
    <xf numFmtId="0" fontId="2" fillId="3" borderId="127" xfId="0" applyFont="1" applyFill="1" applyBorder="1" applyAlignment="1">
      <alignment horizontal="center"/>
    </xf>
    <xf numFmtId="0" fontId="3" fillId="3" borderId="126" xfId="0" applyFont="1" applyFill="1" applyBorder="1" applyAlignment="1">
      <alignment horizontal="center" vertical="center" wrapText="1"/>
    </xf>
    <xf numFmtId="2" fontId="23" fillId="3" borderId="89" xfId="0" applyNumberFormat="1" applyFont="1" applyFill="1" applyBorder="1" applyAlignment="1">
      <alignment horizontal="center"/>
    </xf>
    <xf numFmtId="2" fontId="23" fillId="3" borderId="127" xfId="0" applyNumberFormat="1" applyFont="1" applyFill="1" applyBorder="1" applyAlignment="1">
      <alignment horizontal="center"/>
    </xf>
    <xf numFmtId="0" fontId="23" fillId="3" borderId="89" xfId="0" applyFont="1" applyFill="1" applyBorder="1" applyAlignment="1">
      <alignment horizontal="center"/>
    </xf>
    <xf numFmtId="0" fontId="23" fillId="3" borderId="140" xfId="0" applyFont="1" applyFill="1" applyBorder="1" applyAlignment="1">
      <alignment horizontal="center"/>
    </xf>
    <xf numFmtId="0" fontId="23" fillId="3" borderId="142" xfId="0" applyFont="1" applyFill="1" applyBorder="1" applyAlignment="1">
      <alignment horizontal="center"/>
    </xf>
    <xf numFmtId="0" fontId="23" fillId="3" borderId="144" xfId="0" applyFont="1" applyFill="1" applyBorder="1"/>
    <xf numFmtId="0" fontId="0" fillId="0" borderId="131" xfId="0" applyBorder="1" applyAlignment="1" applyProtection="1">
      <alignment vertical="center" wrapText="1"/>
      <protection locked="0"/>
    </xf>
    <xf numFmtId="0" fontId="0" fillId="3" borderId="68" xfId="0" applyFill="1" applyBorder="1" applyAlignment="1">
      <alignment horizontal="left" vertical="center"/>
    </xf>
    <xf numFmtId="0" fontId="0" fillId="3" borderId="0" xfId="0" applyFill="1"/>
    <xf numFmtId="0" fontId="0" fillId="3" borderId="129" xfId="0" applyFill="1" applyBorder="1" applyAlignment="1">
      <alignment horizontal="center"/>
    </xf>
    <xf numFmtId="0" fontId="0" fillId="5" borderId="87" xfId="0" applyFill="1" applyBorder="1"/>
    <xf numFmtId="0" fontId="23" fillId="5" borderId="145" xfId="0" applyFont="1" applyFill="1" applyBorder="1" applyAlignment="1" applyProtection="1">
      <alignment horizontal="center" vertical="center" wrapText="1"/>
      <protection locked="0"/>
    </xf>
    <xf numFmtId="0" fontId="0" fillId="4" borderId="92" xfId="0" applyFill="1" applyBorder="1"/>
    <xf numFmtId="0" fontId="0" fillId="0" borderId="150" xfId="0" applyBorder="1"/>
    <xf numFmtId="0" fontId="0" fillId="4" borderId="71" xfId="0" applyFill="1" applyBorder="1"/>
    <xf numFmtId="0" fontId="0" fillId="0" borderId="151" xfId="0" applyBorder="1"/>
    <xf numFmtId="0" fontId="23" fillId="5" borderId="126" xfId="0" applyFont="1" applyFill="1" applyBorder="1" applyAlignment="1" applyProtection="1">
      <alignment horizontal="center"/>
      <protection locked="0"/>
    </xf>
    <xf numFmtId="0" fontId="23" fillId="5" borderId="89" xfId="0" applyFont="1" applyFill="1" applyBorder="1" applyAlignment="1" applyProtection="1">
      <alignment horizontal="center"/>
      <protection locked="0"/>
    </xf>
    <xf numFmtId="0" fontId="24" fillId="0" borderId="0" xfId="1" applyAlignment="1" applyProtection="1">
      <alignment horizontal="left"/>
      <protection locked="0"/>
    </xf>
    <xf numFmtId="0" fontId="24" fillId="0" borderId="65" xfId="1" applyBorder="1" applyAlignment="1" applyProtection="1">
      <alignment horizontal="left"/>
      <protection locked="0"/>
    </xf>
    <xf numFmtId="0" fontId="2" fillId="0" borderId="84" xfId="0" applyFont="1" applyBorder="1" applyAlignment="1">
      <alignment horizontal="center" wrapText="1"/>
    </xf>
    <xf numFmtId="0" fontId="2" fillId="0" borderId="138" xfId="0" applyFont="1" applyBorder="1" applyAlignment="1">
      <alignment horizontal="center"/>
    </xf>
    <xf numFmtId="0" fontId="2" fillId="0" borderId="85" xfId="0" applyFont="1" applyBorder="1" applyAlignment="1">
      <alignment horizontal="center"/>
    </xf>
    <xf numFmtId="0" fontId="2" fillId="0" borderId="53" xfId="0" applyFont="1" applyBorder="1" applyAlignment="1">
      <alignment horizontal="center" vertical="center" textRotation="90"/>
    </xf>
    <xf numFmtId="0" fontId="2" fillId="0" borderId="54" xfId="0" applyFont="1" applyBorder="1" applyAlignment="1">
      <alignment horizontal="center" vertical="center" textRotation="90"/>
    </xf>
    <xf numFmtId="0" fontId="2" fillId="0" borderId="55" xfId="0" applyFont="1" applyBorder="1" applyAlignment="1">
      <alignment horizontal="center" vertical="center" textRotation="90"/>
    </xf>
    <xf numFmtId="0" fontId="2" fillId="3" borderId="66" xfId="0" applyFont="1" applyFill="1" applyBorder="1" applyAlignment="1">
      <alignment horizontal="left"/>
    </xf>
    <xf numFmtId="0" fontId="2" fillId="3" borderId="1" xfId="0" applyFont="1" applyFill="1" applyBorder="1" applyAlignment="1">
      <alignment horizontal="left"/>
    </xf>
    <xf numFmtId="0" fontId="2" fillId="3" borderId="67" xfId="0" applyFont="1" applyFill="1" applyBorder="1" applyAlignment="1">
      <alignment horizontal="left"/>
    </xf>
    <xf numFmtId="0" fontId="14" fillId="0" borderId="30" xfId="0" applyFont="1" applyBorder="1" applyAlignment="1" applyProtection="1">
      <alignment horizontal="center"/>
      <protection locked="0"/>
    </xf>
    <xf numFmtId="0" fontId="14" fillId="0" borderId="3" xfId="0" applyFont="1" applyBorder="1" applyAlignment="1" applyProtection="1">
      <alignment horizontal="center"/>
      <protection locked="0"/>
    </xf>
    <xf numFmtId="0" fontId="16" fillId="0" borderId="36" xfId="0" applyFont="1" applyBorder="1" applyAlignment="1" applyProtection="1">
      <alignment horizontal="center"/>
      <protection locked="0"/>
    </xf>
    <xf numFmtId="0" fontId="16" fillId="0" borderId="5" xfId="0" applyFont="1" applyBorder="1" applyAlignment="1" applyProtection="1">
      <alignment horizontal="center"/>
      <protection locked="0"/>
    </xf>
    <xf numFmtId="0" fontId="18" fillId="0" borderId="42" xfId="0" applyFont="1" applyBorder="1" applyAlignment="1" applyProtection="1">
      <alignment horizontal="center"/>
      <protection locked="0"/>
    </xf>
    <xf numFmtId="0" fontId="18" fillId="0" borderId="8" xfId="0" applyFont="1" applyBorder="1" applyAlignment="1" applyProtection="1">
      <alignment horizontal="center"/>
      <protection locked="0"/>
    </xf>
    <xf numFmtId="0" fontId="20" fillId="0" borderId="49" xfId="0" applyFont="1" applyBorder="1" applyAlignment="1" applyProtection="1">
      <alignment horizontal="center"/>
      <protection locked="0"/>
    </xf>
    <xf numFmtId="0" fontId="20" fillId="0" borderId="16" xfId="0" applyFont="1" applyBorder="1" applyAlignment="1" applyProtection="1">
      <alignment horizontal="center"/>
      <protection locked="0"/>
    </xf>
    <xf numFmtId="0" fontId="22" fillId="0" borderId="22" xfId="0" applyFont="1" applyBorder="1" applyAlignment="1" applyProtection="1">
      <alignment horizontal="center"/>
      <protection locked="0"/>
    </xf>
    <xf numFmtId="0" fontId="22" fillId="0" borderId="24" xfId="0" applyFont="1" applyBorder="1" applyAlignment="1" applyProtection="1">
      <alignment horizontal="center"/>
      <protection locked="0"/>
    </xf>
    <xf numFmtId="0" fontId="2" fillId="3" borderId="59" xfId="0" applyFont="1" applyFill="1" applyBorder="1" applyAlignment="1">
      <alignment horizontal="center" vertical="center" textRotation="90"/>
    </xf>
    <xf numFmtId="0" fontId="2" fillId="3" borderId="61" xfId="0" applyFont="1" applyFill="1" applyBorder="1" applyAlignment="1">
      <alignment horizontal="center" vertical="center" textRotation="90"/>
    </xf>
    <xf numFmtId="0" fontId="2" fillId="3" borderId="68" xfId="0" applyFont="1" applyFill="1" applyBorder="1" applyAlignment="1">
      <alignment horizontal="center" vertical="center" textRotation="90"/>
    </xf>
    <xf numFmtId="0" fontId="2" fillId="3" borderId="65" xfId="0" applyFont="1" applyFill="1" applyBorder="1" applyAlignment="1">
      <alignment horizontal="center" vertical="center" textRotation="90"/>
    </xf>
    <xf numFmtId="0" fontId="2" fillId="3" borderId="62" xfId="0" applyFont="1" applyFill="1" applyBorder="1" applyAlignment="1">
      <alignment horizontal="center" vertical="center" textRotation="90"/>
    </xf>
    <xf numFmtId="0" fontId="2" fillId="3" borderId="63" xfId="0" applyFont="1" applyFill="1" applyBorder="1" applyAlignment="1">
      <alignment horizontal="center" vertical="center" textRotation="90"/>
    </xf>
    <xf numFmtId="2" fontId="14" fillId="3" borderId="30" xfId="0" applyNumberFormat="1" applyFont="1" applyFill="1" applyBorder="1" applyAlignment="1">
      <alignment horizontal="center"/>
    </xf>
    <xf numFmtId="2" fontId="14" fillId="3" borderId="3" xfId="0" applyNumberFormat="1" applyFont="1" applyFill="1" applyBorder="1" applyAlignment="1">
      <alignment horizontal="center"/>
    </xf>
    <xf numFmtId="1" fontId="14" fillId="0" borderId="30" xfId="0" applyNumberFormat="1" applyFont="1" applyBorder="1" applyAlignment="1" applyProtection="1">
      <alignment horizontal="center"/>
      <protection locked="0"/>
    </xf>
    <xf numFmtId="1" fontId="14" fillId="0" borderId="3" xfId="0" applyNumberFormat="1" applyFont="1" applyBorder="1" applyAlignment="1" applyProtection="1">
      <alignment horizontal="center"/>
      <protection locked="0"/>
    </xf>
    <xf numFmtId="2" fontId="14" fillId="3" borderId="95" xfId="0" applyNumberFormat="1" applyFont="1" applyFill="1" applyBorder="1" applyAlignment="1">
      <alignment horizontal="center"/>
    </xf>
    <xf numFmtId="2" fontId="14" fillId="3" borderId="96" xfId="0" applyNumberFormat="1" applyFont="1" applyFill="1" applyBorder="1" applyAlignment="1">
      <alignment horizontal="center"/>
    </xf>
    <xf numFmtId="0" fontId="2" fillId="3" borderId="125" xfId="0" applyFont="1" applyFill="1" applyBorder="1" applyAlignment="1">
      <alignment horizontal="left"/>
    </xf>
    <xf numFmtId="0" fontId="2" fillId="3" borderId="132" xfId="0" applyFont="1" applyFill="1" applyBorder="1" applyAlignment="1">
      <alignment horizontal="left"/>
    </xf>
    <xf numFmtId="0" fontId="2" fillId="3" borderId="133" xfId="0" applyFont="1" applyFill="1" applyBorder="1" applyAlignment="1">
      <alignment horizontal="left"/>
    </xf>
    <xf numFmtId="0" fontId="3" fillId="3" borderId="44" xfId="0" applyFont="1" applyFill="1" applyBorder="1" applyAlignment="1">
      <alignment horizontal="center" vertical="center" wrapText="1"/>
    </xf>
    <xf numFmtId="0" fontId="3" fillId="3" borderId="45" xfId="0" applyFont="1" applyFill="1" applyBorder="1" applyAlignment="1">
      <alignment horizontal="center" vertical="center" wrapText="1"/>
    </xf>
    <xf numFmtId="0" fontId="21" fillId="3" borderId="18" xfId="0" applyFont="1" applyFill="1" applyBorder="1" applyAlignment="1">
      <alignment horizontal="center" wrapText="1"/>
    </xf>
    <xf numFmtId="0" fontId="21" fillId="3" borderId="19" xfId="0" applyFont="1" applyFill="1" applyBorder="1" applyAlignment="1">
      <alignment horizontal="center"/>
    </xf>
    <xf numFmtId="0" fontId="13" fillId="3" borderId="30"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29"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0" fillId="3" borderId="58" xfId="0" applyFont="1" applyFill="1" applyBorder="1" applyAlignment="1">
      <alignment horizontal="center" vertical="center" wrapText="1"/>
    </xf>
    <xf numFmtId="0" fontId="10" fillId="3" borderId="57" xfId="0" applyFont="1" applyFill="1" applyBorder="1" applyAlignment="1">
      <alignment horizontal="center" vertical="center"/>
    </xf>
    <xf numFmtId="1" fontId="16" fillId="0" borderId="36" xfId="0" applyNumberFormat="1" applyFont="1" applyBorder="1" applyAlignment="1" applyProtection="1">
      <alignment horizontal="center"/>
      <protection locked="0"/>
    </xf>
    <xf numFmtId="1" fontId="16" fillId="0" borderId="5" xfId="0" applyNumberFormat="1" applyFont="1" applyBorder="1" applyAlignment="1" applyProtection="1">
      <alignment horizontal="center"/>
      <protection locked="0"/>
    </xf>
    <xf numFmtId="1" fontId="18" fillId="0" borderId="42" xfId="0" applyNumberFormat="1" applyFont="1" applyBorder="1" applyAlignment="1" applyProtection="1">
      <alignment horizontal="center"/>
      <protection locked="0"/>
    </xf>
    <xf numFmtId="1" fontId="18" fillId="0" borderId="8" xfId="0" applyNumberFormat="1" applyFont="1" applyBorder="1" applyAlignment="1" applyProtection="1">
      <alignment horizontal="center"/>
      <protection locked="0"/>
    </xf>
    <xf numFmtId="2" fontId="20" fillId="3" borderId="49" xfId="0" applyNumberFormat="1" applyFont="1" applyFill="1" applyBorder="1" applyAlignment="1">
      <alignment horizontal="center"/>
    </xf>
    <xf numFmtId="2" fontId="20" fillId="3" borderId="16" xfId="0" applyNumberFormat="1" applyFont="1" applyFill="1" applyBorder="1" applyAlignment="1">
      <alignment horizontal="center"/>
    </xf>
    <xf numFmtId="2" fontId="16" fillId="3" borderId="36" xfId="0" applyNumberFormat="1" applyFont="1" applyFill="1" applyBorder="1" applyAlignment="1">
      <alignment horizontal="center"/>
    </xf>
    <xf numFmtId="2" fontId="16" fillId="3" borderId="5" xfId="0" applyNumberFormat="1" applyFont="1" applyFill="1" applyBorder="1" applyAlignment="1">
      <alignment horizontal="center"/>
    </xf>
    <xf numFmtId="0" fontId="15" fillId="3" borderId="35" xfId="0" applyFont="1" applyFill="1" applyBorder="1" applyAlignment="1">
      <alignment horizontal="center" vertical="center" wrapText="1"/>
    </xf>
    <xf numFmtId="0" fontId="15" fillId="3" borderId="12" xfId="0" applyFont="1" applyFill="1" applyBorder="1" applyAlignment="1">
      <alignment horizontal="center" vertical="center"/>
    </xf>
    <xf numFmtId="0" fontId="4" fillId="3" borderId="26" xfId="0" applyFont="1" applyFill="1" applyBorder="1" applyAlignment="1">
      <alignment horizontal="center" vertical="center" wrapText="1"/>
    </xf>
    <xf numFmtId="0" fontId="4" fillId="3" borderId="27" xfId="0" applyFont="1" applyFill="1" applyBorder="1" applyAlignment="1">
      <alignment horizontal="center" vertical="center"/>
    </xf>
    <xf numFmtId="0" fontId="15" fillId="3" borderId="36"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4" fillId="0" borderId="31" xfId="0" applyFont="1" applyBorder="1" applyAlignment="1" applyProtection="1">
      <alignment horizontal="center"/>
      <protection locked="0"/>
    </xf>
    <xf numFmtId="0" fontId="14" fillId="0" borderId="11" xfId="0" applyFont="1" applyBorder="1" applyAlignment="1" applyProtection="1">
      <alignment horizontal="center"/>
      <protection locked="0"/>
    </xf>
    <xf numFmtId="2" fontId="16" fillId="3" borderId="98" xfId="0" applyNumberFormat="1" applyFont="1" applyFill="1" applyBorder="1" applyAlignment="1">
      <alignment horizontal="center"/>
    </xf>
    <xf numFmtId="2" fontId="16" fillId="3" borderId="99" xfId="0" applyNumberFormat="1" applyFont="1" applyFill="1" applyBorder="1" applyAlignment="1">
      <alignment horizontal="center"/>
    </xf>
    <xf numFmtId="0" fontId="16" fillId="0" borderId="37" xfId="0" applyFont="1" applyBorder="1" applyAlignment="1" applyProtection="1">
      <alignment horizontal="center"/>
      <protection locked="0"/>
    </xf>
    <xf numFmtId="0" fontId="16" fillId="0" borderId="13" xfId="0" applyFont="1" applyBorder="1" applyAlignment="1" applyProtection="1">
      <alignment horizontal="center"/>
      <protection locked="0"/>
    </xf>
    <xf numFmtId="0" fontId="17" fillId="3" borderId="42" xfId="0" applyFont="1" applyFill="1" applyBorder="1" applyAlignment="1">
      <alignment horizontal="center" vertical="center" wrapText="1"/>
    </xf>
    <xf numFmtId="0" fontId="17" fillId="3" borderId="8" xfId="0" applyFont="1" applyFill="1" applyBorder="1" applyAlignment="1">
      <alignment horizontal="center" vertical="center" wrapText="1"/>
    </xf>
    <xf numFmtId="2" fontId="18" fillId="3" borderId="42" xfId="0" applyNumberFormat="1" applyFont="1" applyFill="1" applyBorder="1" applyAlignment="1">
      <alignment horizontal="center"/>
    </xf>
    <xf numFmtId="2" fontId="18" fillId="3" borderId="8" xfId="0" applyNumberFormat="1" applyFont="1" applyFill="1" applyBorder="1" applyAlignment="1">
      <alignment horizontal="center"/>
    </xf>
    <xf numFmtId="2" fontId="18" fillId="3" borderId="101" xfId="0" applyNumberFormat="1" applyFont="1" applyFill="1" applyBorder="1" applyAlignment="1">
      <alignment horizontal="center"/>
    </xf>
    <xf numFmtId="2" fontId="18" fillId="3" borderId="102" xfId="0" applyNumberFormat="1" applyFont="1" applyFill="1" applyBorder="1" applyAlignment="1">
      <alignment horizontal="center"/>
    </xf>
    <xf numFmtId="0" fontId="20" fillId="0" borderId="120" xfId="0" applyFont="1" applyBorder="1" applyAlignment="1" applyProtection="1">
      <alignment horizontal="center"/>
      <protection locked="0"/>
    </xf>
    <xf numFmtId="0" fontId="20" fillId="0" borderId="121" xfId="0" applyFont="1" applyBorder="1" applyAlignment="1" applyProtection="1">
      <alignment horizontal="center"/>
      <protection locked="0"/>
    </xf>
    <xf numFmtId="0" fontId="22" fillId="0" borderId="123" xfId="0" applyFont="1" applyBorder="1" applyAlignment="1" applyProtection="1">
      <alignment horizontal="center"/>
      <protection locked="0"/>
    </xf>
    <xf numFmtId="0" fontId="22" fillId="0" borderId="124" xfId="0" applyFont="1" applyBorder="1" applyAlignment="1" applyProtection="1">
      <alignment horizontal="center"/>
      <protection locked="0"/>
    </xf>
    <xf numFmtId="0" fontId="18" fillId="0" borderId="43" xfId="0" applyFont="1" applyBorder="1" applyAlignment="1" applyProtection="1">
      <alignment horizontal="center"/>
      <protection locked="0"/>
    </xf>
    <xf numFmtId="0" fontId="18" fillId="0" borderId="9" xfId="0" applyFont="1" applyBorder="1" applyAlignment="1" applyProtection="1">
      <alignment horizontal="center"/>
      <protection locked="0"/>
    </xf>
    <xf numFmtId="0" fontId="17" fillId="3" borderId="41" xfId="0" applyFont="1" applyFill="1" applyBorder="1" applyAlignment="1">
      <alignment horizontal="center" vertical="center" wrapText="1"/>
    </xf>
    <xf numFmtId="0" fontId="17" fillId="3" borderId="6" xfId="0" applyFont="1" applyFill="1" applyBorder="1" applyAlignment="1">
      <alignment horizontal="center" vertical="center"/>
    </xf>
    <xf numFmtId="0" fontId="9" fillId="3" borderId="32" xfId="0" applyFont="1" applyFill="1" applyBorder="1" applyAlignment="1">
      <alignment horizontal="center" vertical="center" wrapText="1"/>
    </xf>
    <xf numFmtId="0" fontId="9" fillId="3" borderId="33" xfId="0" applyFont="1" applyFill="1" applyBorder="1" applyAlignment="1">
      <alignment horizontal="center" vertical="center"/>
    </xf>
    <xf numFmtId="0" fontId="19" fillId="3" borderId="47" xfId="0" applyFont="1" applyFill="1" applyBorder="1" applyAlignment="1">
      <alignment horizontal="center" wrapText="1"/>
    </xf>
    <xf numFmtId="0" fontId="19" fillId="3" borderId="14" xfId="0" applyFont="1" applyFill="1" applyBorder="1" applyAlignment="1">
      <alignment horizontal="center"/>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9" fillId="3" borderId="49" xfId="0" applyFont="1" applyFill="1" applyBorder="1" applyAlignment="1">
      <alignment horizontal="center" vertical="center" wrapText="1"/>
    </xf>
    <xf numFmtId="0" fontId="19" fillId="3" borderId="16" xfId="0" applyFont="1" applyFill="1" applyBorder="1" applyAlignment="1">
      <alignment horizontal="center" vertical="center" wrapText="1"/>
    </xf>
    <xf numFmtId="0" fontId="20" fillId="0" borderId="50" xfId="0" applyFont="1" applyBorder="1" applyAlignment="1" applyProtection="1">
      <alignment horizontal="center"/>
      <protection locked="0"/>
    </xf>
    <xf numFmtId="0" fontId="20" fillId="0" borderId="17" xfId="0" applyFont="1" applyBorder="1" applyAlignment="1" applyProtection="1">
      <alignment horizontal="center"/>
      <protection locked="0"/>
    </xf>
    <xf numFmtId="2" fontId="22" fillId="3" borderId="22" xfId="0" applyNumberFormat="1" applyFont="1" applyFill="1" applyBorder="1" applyAlignment="1">
      <alignment horizontal="center"/>
    </xf>
    <xf numFmtId="2" fontId="22" fillId="3" borderId="24" xfId="0" applyNumberFormat="1" applyFont="1" applyFill="1" applyBorder="1" applyAlignment="1">
      <alignment horizontal="center"/>
    </xf>
    <xf numFmtId="1" fontId="20" fillId="0" borderId="49" xfId="0" applyNumberFormat="1" applyFont="1" applyBorder="1" applyAlignment="1" applyProtection="1">
      <alignment horizontal="center"/>
      <protection locked="0"/>
    </xf>
    <xf numFmtId="1" fontId="20" fillId="0" borderId="16" xfId="0" applyNumberFormat="1" applyFont="1" applyBorder="1" applyAlignment="1" applyProtection="1">
      <alignment horizontal="center"/>
      <protection locked="0"/>
    </xf>
    <xf numFmtId="2" fontId="22" fillId="3" borderId="76" xfId="0" applyNumberFormat="1" applyFont="1" applyFill="1" applyBorder="1" applyAlignment="1">
      <alignment horizontal="center"/>
    </xf>
    <xf numFmtId="0" fontId="21" fillId="3" borderId="22" xfId="0" applyFont="1" applyFill="1" applyBorder="1" applyAlignment="1">
      <alignment horizontal="center" vertical="center" wrapText="1"/>
    </xf>
    <xf numFmtId="0" fontId="21" fillId="3" borderId="24" xfId="0" applyFont="1" applyFill="1" applyBorder="1" applyAlignment="1">
      <alignment horizontal="center" vertical="center" wrapText="1"/>
    </xf>
    <xf numFmtId="2" fontId="20" fillId="3" borderId="104" xfId="0" applyNumberFormat="1" applyFont="1" applyFill="1" applyBorder="1" applyAlignment="1">
      <alignment horizontal="center"/>
    </xf>
    <xf numFmtId="2" fontId="20" fillId="3" borderId="105" xfId="0" applyNumberFormat="1" applyFont="1" applyFill="1" applyBorder="1" applyAlignment="1">
      <alignment horizontal="center"/>
    </xf>
    <xf numFmtId="2" fontId="22" fillId="3" borderId="107" xfId="0" applyNumberFormat="1" applyFont="1" applyFill="1" applyBorder="1" applyAlignment="1">
      <alignment horizontal="center"/>
    </xf>
    <xf numFmtId="2" fontId="22" fillId="3" borderId="108" xfId="0" applyNumberFormat="1" applyFont="1" applyFill="1" applyBorder="1" applyAlignment="1">
      <alignment horizontal="center"/>
    </xf>
    <xf numFmtId="1" fontId="22" fillId="0" borderId="22" xfId="0" applyNumberFormat="1" applyFont="1" applyBorder="1" applyAlignment="1" applyProtection="1">
      <alignment horizontal="center"/>
      <protection locked="0"/>
    </xf>
    <xf numFmtId="1" fontId="22" fillId="0" borderId="24" xfId="0" applyNumberFormat="1" applyFont="1" applyBorder="1" applyAlignment="1" applyProtection="1">
      <alignment horizontal="center"/>
      <protection locked="0"/>
    </xf>
    <xf numFmtId="0" fontId="22" fillId="0" borderId="23" xfId="0" applyFont="1" applyBorder="1" applyAlignment="1" applyProtection="1">
      <alignment horizontal="center"/>
      <protection locked="0"/>
    </xf>
    <xf numFmtId="0" fontId="22" fillId="0" borderId="25" xfId="0" applyFont="1" applyBorder="1" applyAlignment="1" applyProtection="1">
      <alignment horizontal="center"/>
      <protection locked="0"/>
    </xf>
    <xf numFmtId="0" fontId="2" fillId="0" borderId="53" xfId="0" applyFont="1" applyBorder="1" applyAlignment="1">
      <alignment horizontal="center" vertical="center" textRotation="90" wrapText="1"/>
    </xf>
    <xf numFmtId="0" fontId="2" fillId="0" borderId="54" xfId="0" applyFont="1" applyBorder="1" applyAlignment="1">
      <alignment horizontal="center" vertical="center" textRotation="90" wrapText="1"/>
    </xf>
    <xf numFmtId="0" fontId="2" fillId="0" borderId="55" xfId="0" applyFont="1" applyBorder="1" applyAlignment="1">
      <alignment horizontal="center" vertical="center" textRotation="90" wrapText="1"/>
    </xf>
    <xf numFmtId="0" fontId="14" fillId="0" borderId="111" xfId="0" applyFont="1" applyBorder="1" applyAlignment="1" applyProtection="1">
      <alignment horizontal="center"/>
      <protection locked="0"/>
    </xf>
    <xf numFmtId="0" fontId="14" fillId="0" borderId="112" xfId="0" applyFont="1" applyBorder="1" applyAlignment="1" applyProtection="1">
      <alignment horizontal="center"/>
      <protection locked="0"/>
    </xf>
    <xf numFmtId="0" fontId="16" fillId="0" borderId="114" xfId="0" applyFont="1" applyBorder="1" applyAlignment="1" applyProtection="1">
      <alignment horizontal="center"/>
      <protection locked="0"/>
    </xf>
    <xf numFmtId="0" fontId="16" fillId="0" borderId="115" xfId="0" applyFont="1" applyBorder="1" applyAlignment="1" applyProtection="1">
      <alignment horizontal="center"/>
      <protection locked="0"/>
    </xf>
    <xf numFmtId="0" fontId="18" fillId="0" borderId="117" xfId="0" applyFont="1" applyBorder="1" applyAlignment="1" applyProtection="1">
      <alignment horizontal="center"/>
      <protection locked="0"/>
    </xf>
    <xf numFmtId="0" fontId="18" fillId="0" borderId="118" xfId="0" applyFont="1" applyBorder="1" applyAlignment="1" applyProtection="1">
      <alignment horizontal="center"/>
      <protection locked="0"/>
    </xf>
    <xf numFmtId="0" fontId="2" fillId="3" borderId="91" xfId="0" applyFont="1" applyFill="1" applyBorder="1" applyAlignment="1">
      <alignment horizontal="left"/>
    </xf>
    <xf numFmtId="0" fontId="2" fillId="3" borderId="92" xfId="0" applyFont="1" applyFill="1" applyBorder="1" applyAlignment="1">
      <alignment horizontal="left"/>
    </xf>
    <xf numFmtId="0" fontId="2" fillId="3" borderId="93" xfId="0" applyFont="1" applyFill="1" applyBorder="1" applyAlignment="1">
      <alignment horizontal="left"/>
    </xf>
    <xf numFmtId="0" fontId="2" fillId="3" borderId="73" xfId="0" applyFont="1" applyFill="1" applyBorder="1" applyAlignment="1">
      <alignment horizontal="left"/>
    </xf>
    <xf numFmtId="0" fontId="2" fillId="3" borderId="74" xfId="0" applyFont="1" applyFill="1" applyBorder="1" applyAlignment="1">
      <alignment horizontal="left"/>
    </xf>
    <xf numFmtId="0" fontId="2" fillId="3" borderId="75" xfId="0" applyFont="1" applyFill="1" applyBorder="1" applyAlignment="1">
      <alignment horizontal="left"/>
    </xf>
    <xf numFmtId="0" fontId="2" fillId="3" borderId="64" xfId="0" applyFont="1" applyFill="1" applyBorder="1" applyAlignment="1">
      <alignment horizontal="left"/>
    </xf>
    <xf numFmtId="0" fontId="2" fillId="3" borderId="71" xfId="0" applyFont="1" applyFill="1" applyBorder="1" applyAlignment="1">
      <alignment horizontal="left"/>
    </xf>
    <xf numFmtId="0" fontId="2" fillId="3" borderId="72" xfId="0" applyFont="1" applyFill="1" applyBorder="1" applyAlignment="1">
      <alignment horizontal="left"/>
    </xf>
    <xf numFmtId="0" fontId="1" fillId="3" borderId="59" xfId="0" applyFont="1" applyFill="1" applyBorder="1" applyAlignment="1">
      <alignment horizontal="center" vertical="center"/>
    </xf>
    <xf numFmtId="0" fontId="1" fillId="3" borderId="60" xfId="0" applyFont="1" applyFill="1" applyBorder="1" applyAlignment="1">
      <alignment horizontal="center" vertical="center"/>
    </xf>
    <xf numFmtId="0" fontId="1" fillId="3" borderId="61" xfId="0" applyFont="1" applyFill="1" applyBorder="1" applyAlignment="1">
      <alignment horizontal="center" vertical="center"/>
    </xf>
    <xf numFmtId="0" fontId="1" fillId="3" borderId="88" xfId="0" applyFont="1" applyFill="1" applyBorder="1" applyAlignment="1">
      <alignment horizontal="center" vertical="center"/>
    </xf>
    <xf numFmtId="0" fontId="1" fillId="3" borderId="51" xfId="0" applyFont="1" applyFill="1" applyBorder="1" applyAlignment="1">
      <alignment horizontal="center" vertical="center"/>
    </xf>
    <xf numFmtId="0" fontId="1" fillId="3" borderId="87" xfId="0" applyFont="1" applyFill="1" applyBorder="1" applyAlignment="1">
      <alignment horizontal="center" vertical="center"/>
    </xf>
    <xf numFmtId="0" fontId="0" fillId="0" borderId="1" xfId="0" applyBorder="1" applyAlignment="1" applyProtection="1">
      <alignment horizontal="center"/>
      <protection locked="0"/>
    </xf>
    <xf numFmtId="0" fontId="0" fillId="0" borderId="67" xfId="0" applyBorder="1" applyAlignment="1" applyProtection="1">
      <alignment horizontal="center"/>
      <protection locked="0"/>
    </xf>
    <xf numFmtId="0" fontId="0" fillId="3" borderId="81" xfId="0" applyFill="1" applyBorder="1" applyAlignment="1">
      <alignment horizontal="center"/>
    </xf>
    <xf numFmtId="0" fontId="0" fillId="3" borderId="82" xfId="0" applyFill="1" applyBorder="1" applyAlignment="1">
      <alignment horizontal="center"/>
    </xf>
    <xf numFmtId="1" fontId="0" fillId="3" borderId="86" xfId="0" applyNumberFormat="1" applyFill="1" applyBorder="1" applyAlignment="1">
      <alignment horizontal="center"/>
    </xf>
    <xf numFmtId="1" fontId="0" fillId="3" borderId="63" xfId="0" applyNumberFormat="1" applyFill="1" applyBorder="1" applyAlignment="1">
      <alignment horizontal="center"/>
    </xf>
    <xf numFmtId="0" fontId="2" fillId="3" borderId="136" xfId="0" applyFont="1" applyFill="1" applyBorder="1" applyAlignment="1">
      <alignment horizontal="left"/>
    </xf>
    <xf numFmtId="0" fontId="2" fillId="3" borderId="52" xfId="0" applyFont="1" applyFill="1" applyBorder="1" applyAlignment="1">
      <alignment horizontal="left"/>
    </xf>
    <xf numFmtId="0" fontId="2" fillId="3" borderId="82" xfId="0" applyFont="1" applyFill="1" applyBorder="1" applyAlignment="1">
      <alignment horizontal="left"/>
    </xf>
    <xf numFmtId="0" fontId="2" fillId="5" borderId="0" xfId="0" applyFont="1" applyFill="1" applyAlignment="1">
      <alignment horizontal="left"/>
    </xf>
    <xf numFmtId="2" fontId="22" fillId="3" borderId="142" xfId="0" applyNumberFormat="1" applyFont="1" applyFill="1" applyBorder="1" applyAlignment="1">
      <alignment horizontal="center"/>
    </xf>
    <xf numFmtId="2" fontId="22" fillId="3" borderId="146" xfId="0" applyNumberFormat="1" applyFont="1" applyFill="1" applyBorder="1" applyAlignment="1">
      <alignment horizontal="center"/>
    </xf>
    <xf numFmtId="2" fontId="22" fillId="3" borderId="147" xfId="0" applyNumberFormat="1" applyFont="1" applyFill="1" applyBorder="1" applyAlignment="1">
      <alignment horizontal="center"/>
    </xf>
    <xf numFmtId="2" fontId="22" fillId="3" borderId="148" xfId="0" applyNumberFormat="1" applyFont="1" applyFill="1" applyBorder="1" applyAlignment="1">
      <alignment horizontal="center"/>
    </xf>
    <xf numFmtId="1" fontId="22" fillId="3" borderId="142" xfId="0" applyNumberFormat="1" applyFont="1" applyFill="1" applyBorder="1" applyAlignment="1">
      <alignment horizontal="center"/>
    </xf>
    <xf numFmtId="1" fontId="22" fillId="3" borderId="146" xfId="0" applyNumberFormat="1" applyFont="1" applyFill="1" applyBorder="1" applyAlignment="1">
      <alignment horizontal="center"/>
    </xf>
    <xf numFmtId="0" fontId="0" fillId="5" borderId="59" xfId="0" applyFill="1" applyBorder="1" applyAlignment="1">
      <alignment horizontal="left" vertical="top" wrapText="1"/>
    </xf>
    <xf numFmtId="0" fontId="0" fillId="5" borderId="60" xfId="0" applyFill="1" applyBorder="1" applyAlignment="1">
      <alignment horizontal="left" vertical="top" wrapText="1"/>
    </xf>
    <xf numFmtId="0" fontId="0" fillId="5" borderId="61" xfId="0" applyFill="1" applyBorder="1" applyAlignment="1">
      <alignment horizontal="left" vertical="top" wrapText="1"/>
    </xf>
    <xf numFmtId="0" fontId="0" fillId="5" borderId="68" xfId="0" applyFill="1" applyBorder="1" applyAlignment="1">
      <alignment horizontal="left" vertical="top" wrapText="1"/>
    </xf>
    <xf numFmtId="0" fontId="0" fillId="5" borderId="0" xfId="0" applyFill="1" applyAlignment="1">
      <alignment horizontal="left" vertical="top" wrapText="1"/>
    </xf>
    <xf numFmtId="0" fontId="0" fillId="5" borderId="65" xfId="0" applyFill="1" applyBorder="1" applyAlignment="1">
      <alignment horizontal="left" vertical="top" wrapText="1"/>
    </xf>
    <xf numFmtId="0" fontId="0" fillId="5" borderId="62" xfId="0" applyFill="1" applyBorder="1" applyAlignment="1">
      <alignment horizontal="left" vertical="top" wrapText="1"/>
    </xf>
    <xf numFmtId="0" fontId="0" fillId="5" borderId="63" xfId="0" applyFill="1" applyBorder="1" applyAlignment="1">
      <alignment horizontal="left" vertical="top" wrapText="1"/>
    </xf>
    <xf numFmtId="0" fontId="2" fillId="0" borderId="84" xfId="0" applyFont="1" applyBorder="1" applyAlignment="1">
      <alignment horizontal="center"/>
    </xf>
    <xf numFmtId="0" fontId="21" fillId="3" borderId="140" xfId="0" applyFont="1" applyFill="1" applyBorder="1" applyAlignment="1">
      <alignment horizontal="center" wrapText="1"/>
    </xf>
    <xf numFmtId="0" fontId="21" fillId="3" borderId="149" xfId="0" applyFont="1" applyFill="1" applyBorder="1" applyAlignment="1">
      <alignment horizontal="center" wrapText="1"/>
    </xf>
    <xf numFmtId="0" fontId="22" fillId="3" borderId="142" xfId="0" applyFont="1" applyFill="1" applyBorder="1" applyAlignment="1">
      <alignment horizontal="center"/>
    </xf>
    <xf numFmtId="0" fontId="22" fillId="3" borderId="146" xfId="0" applyFont="1" applyFill="1" applyBorder="1" applyAlignment="1">
      <alignment horizontal="center"/>
    </xf>
    <xf numFmtId="0" fontId="2" fillId="5" borderId="84" xfId="0" applyFont="1" applyFill="1" applyBorder="1" applyAlignment="1">
      <alignment horizontal="center"/>
    </xf>
    <xf numFmtId="0" fontId="2" fillId="5" borderId="138" xfId="0" applyFont="1" applyFill="1" applyBorder="1" applyAlignment="1">
      <alignment horizontal="center"/>
    </xf>
    <xf numFmtId="0" fontId="2" fillId="5" borderId="85" xfId="0" applyFont="1" applyFill="1" applyBorder="1" applyAlignment="1">
      <alignment horizontal="center"/>
    </xf>
    <xf numFmtId="0" fontId="0" fillId="5" borderId="84" xfId="0" applyFill="1" applyBorder="1" applyAlignment="1">
      <alignment horizontal="left" wrapText="1"/>
    </xf>
    <xf numFmtId="0" fontId="0" fillId="5" borderId="138" xfId="0" applyFill="1" applyBorder="1" applyAlignment="1">
      <alignment horizontal="left" wrapText="1"/>
    </xf>
    <xf numFmtId="0" fontId="0" fillId="5" borderId="85" xfId="0" applyFill="1" applyBorder="1" applyAlignment="1">
      <alignment horizontal="left" wrapText="1"/>
    </xf>
    <xf numFmtId="0" fontId="0" fillId="0" borderId="84" xfId="0" applyBorder="1" applyAlignment="1">
      <alignment horizontal="left" wrapText="1"/>
    </xf>
    <xf numFmtId="0" fontId="0" fillId="0" borderId="138" xfId="0" applyBorder="1" applyAlignment="1">
      <alignment horizontal="left" wrapText="1"/>
    </xf>
    <xf numFmtId="0" fontId="0" fillId="0" borderId="85" xfId="0" applyBorder="1" applyAlignment="1">
      <alignment horizontal="left" wrapText="1"/>
    </xf>
    <xf numFmtId="0" fontId="0" fillId="5" borderId="1" xfId="0" applyFill="1" applyBorder="1" applyAlignment="1" applyProtection="1">
      <alignment horizontal="center"/>
      <protection locked="0"/>
    </xf>
    <xf numFmtId="0" fontId="0" fillId="5" borderId="67" xfId="0" applyFill="1" applyBorder="1" applyAlignment="1" applyProtection="1">
      <alignment horizontal="center"/>
      <protection locked="0"/>
    </xf>
    <xf numFmtId="0" fontId="0" fillId="0" borderId="62" xfId="0" applyBorder="1" applyAlignment="1">
      <alignment horizontal="left" vertical="top" wrapText="1"/>
    </xf>
    <xf numFmtId="0" fontId="0" fillId="0" borderId="139" xfId="0" applyBorder="1" applyAlignment="1">
      <alignment horizontal="left" vertical="top" wrapText="1"/>
    </xf>
    <xf numFmtId="0" fontId="0" fillId="0" borderId="63" xfId="0"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808080"/>
      <color rgb="FFB898D0"/>
      <color rgb="FF80D8A8"/>
      <color rgb="FF80B8E0"/>
      <color rgb="FFFF8080"/>
      <color rgb="FF2C4D87"/>
      <color rgb="FFFF4040"/>
      <color rgb="FFFFE080"/>
      <color rgb="FF717171"/>
      <color rgb="FFDDA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2829066460994356E-3"/>
          <c:y val="1.317908615446438E-3"/>
          <c:w val="0.96803418717367751"/>
          <c:h val="0.96735826488966647"/>
        </c:manualLayout>
      </c:layout>
      <c:scatterChart>
        <c:scatterStyle val="lineMarker"/>
        <c:varyColors val="0"/>
        <c:ser>
          <c:idx val="0"/>
          <c:order val="0"/>
          <c:tx>
            <c:v>1_F</c:v>
          </c:tx>
          <c:spPr>
            <a:ln>
              <a:solidFill>
                <a:srgbClr val="FF0000"/>
              </a:solidFill>
            </a:ln>
          </c:spPr>
          <c:marker>
            <c:symbol val="none"/>
          </c:marker>
          <c:xVal>
            <c:numRef>
              <c:f>('Background calcs'!$H$120,'Background calcs'!$H$88,'Background calcs'!$H$90,'Background calcs'!$H$69,'Background calcs'!$H$65,'Background calcs'!$H$88,'Background calcs'!$H$75,'Background calcs'!$H$73,'Background calcs'!$H$69,'Background calcs'!$H$73,'Background calcs'!$H$85)</c:f>
              <c:numCache>
                <c:formatCode>General</c:formatCode>
                <c:ptCount val="11"/>
                <c:pt idx="0">
                  <c:v>262.43772767656708</c:v>
                </c:pt>
                <c:pt idx="1">
                  <c:v>382.03924839897201</c:v>
                </c:pt>
                <c:pt idx="2">
                  <c:v>436.48059521586981</c:v>
                </c:pt>
                <c:pt idx="3">
                  <c:v>436.48059521586981</c:v>
                </c:pt>
                <c:pt idx="4">
                  <c:v>0</c:v>
                </c:pt>
                <c:pt idx="5">
                  <c:v>382.03924839897201</c:v>
                </c:pt>
                <c:pt idx="6">
                  <c:v>891.48059521586981</c:v>
                </c:pt>
                <c:pt idx="7">
                  <c:v>943.14192683286524</c:v>
                </c:pt>
                <c:pt idx="8">
                  <c:v>436.48059521586981</c:v>
                </c:pt>
                <c:pt idx="9">
                  <c:v>943.14192683286524</c:v>
                </c:pt>
                <c:pt idx="10">
                  <c:v>1229.1335313107741</c:v>
                </c:pt>
              </c:numCache>
            </c:numRef>
          </c:xVal>
          <c:yVal>
            <c:numRef>
              <c:f>('Background calcs'!$H$121,'Background calcs'!$H$87,'Background calcs'!$H$91,'Background calcs'!$H$70,'Background calcs'!$H$66,'Background calcs'!$H$87,'Background calcs'!$H$76,'Background calcs'!$H$74,'Background calcs'!$H$70,'Background calcs'!$H$74,'Background calcs'!$H$81)</c:f>
              <c:numCache>
                <c:formatCode>General</c:formatCode>
                <c:ptCount val="11"/>
                <c:pt idx="0">
                  <c:v>677.3480374685787</c:v>
                </c:pt>
                <c:pt idx="1">
                  <c:v>330</c:v>
                </c:pt>
                <c:pt idx="2">
                  <c:v>171.89084837904329</c:v>
                </c:pt>
                <c:pt idx="3">
                  <c:v>-21.3</c:v>
                </c:pt>
                <c:pt idx="4">
                  <c:v>0</c:v>
                </c:pt>
                <c:pt idx="5">
                  <c:v>330</c:v>
                </c:pt>
                <c:pt idx="6">
                  <c:v>605.70000000000005</c:v>
                </c:pt>
                <c:pt idx="7">
                  <c:v>497.38976587801676</c:v>
                </c:pt>
                <c:pt idx="8">
                  <c:v>-21.3</c:v>
                </c:pt>
                <c:pt idx="9">
                  <c:v>497.38976587801676</c:v>
                </c:pt>
                <c:pt idx="10">
                  <c:v>0</c:v>
                </c:pt>
              </c:numCache>
            </c:numRef>
          </c:yVal>
          <c:smooth val="0"/>
          <c:extLst>
            <c:ext xmlns:c16="http://schemas.microsoft.com/office/drawing/2014/chart" uri="{C3380CC4-5D6E-409C-BE32-E72D297353CC}">
              <c16:uniqueId val="{000000A5-6FA5-44F6-B9D8-5714E9DA377F}"/>
            </c:ext>
          </c:extLst>
        </c:ser>
        <c:ser>
          <c:idx val="10"/>
          <c:order val="1"/>
          <c:tx>
            <c:v>1_S</c:v>
          </c:tx>
          <c:spPr>
            <a:ln>
              <a:solidFill>
                <a:srgbClr val="FF0000"/>
              </a:solidFill>
            </a:ln>
          </c:spPr>
          <c:marker>
            <c:symbol val="none"/>
          </c:marker>
          <c:dPt>
            <c:idx val="0"/>
            <c:bubble3D val="0"/>
            <c:spPr/>
            <c:extLst>
              <c:ext xmlns:c16="http://schemas.microsoft.com/office/drawing/2014/chart" uri="{C3380CC4-5D6E-409C-BE32-E72D297353CC}">
                <c16:uniqueId val="{00000001-12B6-49B3-AE9B-B2821A4797B4}"/>
              </c:ext>
            </c:extLst>
          </c:dPt>
          <c:xVal>
            <c:numRef>
              <c:f>('Background calcs'!$H$116,'Background calcs'!$H$118)</c:f>
              <c:numCache>
                <c:formatCode>General</c:formatCode>
                <c:ptCount val="2"/>
                <c:pt idx="0">
                  <c:v>350.43772767656708</c:v>
                </c:pt>
                <c:pt idx="1">
                  <c:v>170.43772767656708</c:v>
                </c:pt>
              </c:numCache>
            </c:numRef>
          </c:xVal>
          <c:yVal>
            <c:numRef>
              <c:f>('Background calcs'!$H$117,'Background calcs'!$H$119)</c:f>
              <c:numCache>
                <c:formatCode>General</c:formatCode>
                <c:ptCount val="2"/>
                <c:pt idx="0">
                  <c:v>677.3480374685787</c:v>
                </c:pt>
                <c:pt idx="1">
                  <c:v>677.3480374685787</c:v>
                </c:pt>
              </c:numCache>
            </c:numRef>
          </c:yVal>
          <c:smooth val="0"/>
          <c:extLst>
            <c:ext xmlns:c16="http://schemas.microsoft.com/office/drawing/2014/chart" uri="{C3380CC4-5D6E-409C-BE32-E72D297353CC}">
              <c16:uniqueId val="{00000002-0E80-4D83-A6F9-83219B69A0BE}"/>
            </c:ext>
          </c:extLst>
        </c:ser>
        <c:ser>
          <c:idx val="12"/>
          <c:order val="2"/>
          <c:tx>
            <c:v>1_C</c:v>
          </c:tx>
          <c:spPr>
            <a:ln>
              <a:solidFill>
                <a:srgbClr val="FF0000"/>
              </a:solidFill>
            </a:ln>
          </c:spPr>
          <c:marker>
            <c:symbol val="none"/>
          </c:marker>
          <c:xVal>
            <c:numRef>
              <c:f>('Background calcs'!$H$77,'Background calcs'!$H$94,'Background calcs'!$H$97,'Background calcs'!$H$100,'Background calcs'!$H$106)</c:f>
              <c:numCache>
                <c:formatCode>General</c:formatCode>
                <c:ptCount val="5"/>
                <c:pt idx="0">
                  <c:v>891.48059521586981</c:v>
                </c:pt>
                <c:pt idx="1">
                  <c:v>874.26015134353804</c:v>
                </c:pt>
                <c:pt idx="2">
                  <c:v>910.36356271753243</c:v>
                </c:pt>
                <c:pt idx="3">
                  <c:v>905.18718181548206</c:v>
                </c:pt>
                <c:pt idx="4">
                  <c:v>871.5446464829738</c:v>
                </c:pt>
              </c:numCache>
            </c:numRef>
          </c:xVal>
          <c:yVal>
            <c:numRef>
              <c:f>('Background calcs'!$H$78,'Background calcs'!$H$95,'Background calcs'!$H$98,'Background calcs'!$H$101,'Background calcs'!$H$107)</c:f>
              <c:numCache>
                <c:formatCode>General</c:formatCode>
                <c:ptCount val="5"/>
                <c:pt idx="0">
                  <c:v>605.70000000000005</c:v>
                </c:pt>
                <c:pt idx="1">
                  <c:v>641.80341137399444</c:v>
                </c:pt>
                <c:pt idx="2">
                  <c:v>659.02385524632621</c:v>
                </c:pt>
                <c:pt idx="3">
                  <c:v>678.34237177210753</c:v>
                </c:pt>
                <c:pt idx="4">
                  <c:v>688.72738845573531</c:v>
                </c:pt>
              </c:numCache>
            </c:numRef>
          </c:yVal>
          <c:smooth val="0"/>
          <c:extLst>
            <c:ext xmlns:c16="http://schemas.microsoft.com/office/drawing/2014/chart" uri="{C3380CC4-5D6E-409C-BE32-E72D297353CC}">
              <c16:uniqueId val="{00000004-0E80-4D83-A6F9-83219B69A0BE}"/>
            </c:ext>
          </c:extLst>
        </c:ser>
        <c:ser>
          <c:idx val="11"/>
          <c:order val="3"/>
          <c:tx>
            <c:v>1_P</c:v>
          </c:tx>
          <c:spPr>
            <a:ln>
              <a:solidFill>
                <a:srgbClr val="FF0000"/>
              </a:solidFill>
            </a:ln>
          </c:spPr>
          <c:marker>
            <c:symbol val="none"/>
          </c:marker>
          <c:xVal>
            <c:numRef>
              <c:f>('Background calcs'!$H$71,'Background calcs'!$H$108,'Background calcs'!$H$110,'Background calcs'!$H$112)</c:f>
              <c:numCache>
                <c:formatCode>General</c:formatCode>
                <c:ptCount val="4"/>
                <c:pt idx="0">
                  <c:v>436.48059521586981</c:v>
                </c:pt>
                <c:pt idx="1">
                  <c:v>436.48059521586981</c:v>
                </c:pt>
                <c:pt idx="2">
                  <c:v>486.48059521586981</c:v>
                </c:pt>
                <c:pt idx="3">
                  <c:v>386.48059521586981</c:v>
                </c:pt>
              </c:numCache>
            </c:numRef>
          </c:xVal>
          <c:yVal>
            <c:numRef>
              <c:f>('Background calcs'!$H$72,'Background calcs'!$H$109,'Background calcs'!$H$111,'Background calcs'!$H$113)</c:f>
              <c:numCache>
                <c:formatCode>General</c:formatCode>
                <c:ptCount val="4"/>
                <c:pt idx="0">
                  <c:v>-21.3</c:v>
                </c:pt>
                <c:pt idx="1">
                  <c:v>-191.3</c:v>
                </c:pt>
                <c:pt idx="2">
                  <c:v>-191.3</c:v>
                </c:pt>
                <c:pt idx="3">
                  <c:v>-191.3</c:v>
                </c:pt>
              </c:numCache>
            </c:numRef>
          </c:yVal>
          <c:smooth val="0"/>
          <c:extLst>
            <c:ext xmlns:c16="http://schemas.microsoft.com/office/drawing/2014/chart" uri="{C3380CC4-5D6E-409C-BE32-E72D297353CC}">
              <c16:uniqueId val="{00000003-0E80-4D83-A6F9-83219B69A0BE}"/>
            </c:ext>
          </c:extLst>
        </c:ser>
        <c:ser>
          <c:idx val="17"/>
          <c:order val="4"/>
          <c:tx>
            <c:v>1_r</c:v>
          </c:tx>
          <c:spPr>
            <a:ln>
              <a:solidFill>
                <a:srgbClr val="FF0000"/>
              </a:solidFill>
            </a:ln>
          </c:spPr>
          <c:marker>
            <c:symbol val="none"/>
          </c:marker>
          <c:xVal>
            <c:numRef>
              <c:f>'Background calcs'!$H$155:$H$227</c:f>
              <c:numCache>
                <c:formatCode>General</c:formatCode>
                <c:ptCount val="73"/>
                <c:pt idx="0">
                  <c:v>370</c:v>
                </c:pt>
                <c:pt idx="1">
                  <c:v>368.59203829394585</c:v>
                </c:pt>
                <c:pt idx="2">
                  <c:v>364.37886861451699</c:v>
                </c:pt>
                <c:pt idx="3">
                  <c:v>357.39255572695527</c:v>
                </c:pt>
                <c:pt idx="4">
                  <c:v>347.68626969078611</c:v>
                </c:pt>
                <c:pt idx="5">
                  <c:v>335.33388120356045</c:v>
                </c:pt>
                <c:pt idx="6">
                  <c:v>320.42939940024235</c:v>
                </c:pt>
                <c:pt idx="7">
                  <c:v>303.08625638692695</c:v>
                </c:pt>
                <c:pt idx="8">
                  <c:v>283.43644395402185</c:v>
                </c:pt>
                <c:pt idx="9">
                  <c:v>261.62950903902259</c:v>
                </c:pt>
                <c:pt idx="10">
                  <c:v>237.83141558401957</c:v>
                </c:pt>
                <c:pt idx="11">
                  <c:v>212.22328144988708</c:v>
                </c:pt>
                <c:pt idx="12">
                  <c:v>185.00000000000003</c:v>
                </c:pt>
                <c:pt idx="13">
                  <c:v>156.36875684405879</c:v>
                </c:pt>
                <c:pt idx="14">
                  <c:v>126.54745303049746</c:v>
                </c:pt>
                <c:pt idx="15">
                  <c:v>95.763046687932672</c:v>
                </c:pt>
                <c:pt idx="16">
                  <c:v>64.249825736764251</c:v>
                </c:pt>
                <c:pt idx="17">
                  <c:v>32.247624816633511</c:v>
                </c:pt>
                <c:pt idx="18">
                  <c:v>2.266524641580947E-14</c:v>
                </c:pt>
                <c:pt idx="19">
                  <c:v>-32.247624816633547</c:v>
                </c:pt>
                <c:pt idx="20">
                  <c:v>-64.249825736764208</c:v>
                </c:pt>
                <c:pt idx="21">
                  <c:v>-95.763046687932714</c:v>
                </c:pt>
                <c:pt idx="22">
                  <c:v>-126.54745303049742</c:v>
                </c:pt>
                <c:pt idx="23">
                  <c:v>-156.36875684405877</c:v>
                </c:pt>
                <c:pt idx="24">
                  <c:v>-184.99999999999991</c:v>
                </c:pt>
                <c:pt idx="25">
                  <c:v>-212.22328144988708</c:v>
                </c:pt>
                <c:pt idx="26">
                  <c:v>-237.83141558401957</c:v>
                </c:pt>
                <c:pt idx="27">
                  <c:v>-261.62950903902254</c:v>
                </c:pt>
                <c:pt idx="28">
                  <c:v>-283.4364439540218</c:v>
                </c:pt>
                <c:pt idx="29">
                  <c:v>-303.086256386927</c:v>
                </c:pt>
                <c:pt idx="30">
                  <c:v>-320.42939940024235</c:v>
                </c:pt>
                <c:pt idx="31">
                  <c:v>-335.33388120356045</c:v>
                </c:pt>
                <c:pt idx="32">
                  <c:v>-347.68626969078611</c:v>
                </c:pt>
                <c:pt idx="33">
                  <c:v>-357.39255572695521</c:v>
                </c:pt>
                <c:pt idx="34">
                  <c:v>-364.37886861451699</c:v>
                </c:pt>
                <c:pt idx="35">
                  <c:v>-368.59203829394585</c:v>
                </c:pt>
                <c:pt idx="36">
                  <c:v>-370</c:v>
                </c:pt>
                <c:pt idx="37">
                  <c:v>-368.59203829394585</c:v>
                </c:pt>
                <c:pt idx="38">
                  <c:v>-364.37886861451699</c:v>
                </c:pt>
                <c:pt idx="39">
                  <c:v>-357.39255572695527</c:v>
                </c:pt>
                <c:pt idx="40">
                  <c:v>-347.68626969078611</c:v>
                </c:pt>
                <c:pt idx="41">
                  <c:v>-335.33388120356051</c:v>
                </c:pt>
                <c:pt idx="42">
                  <c:v>-320.42939940024229</c:v>
                </c:pt>
                <c:pt idx="43">
                  <c:v>-303.08625638692695</c:v>
                </c:pt>
                <c:pt idx="44">
                  <c:v>-283.43644395402185</c:v>
                </c:pt>
                <c:pt idx="45">
                  <c:v>-261.62950903902265</c:v>
                </c:pt>
                <c:pt idx="46">
                  <c:v>-237.8314155840196</c:v>
                </c:pt>
                <c:pt idx="47">
                  <c:v>-212.22328144988717</c:v>
                </c:pt>
                <c:pt idx="48">
                  <c:v>-185.00000000000017</c:v>
                </c:pt>
                <c:pt idx="49">
                  <c:v>-156.36875684405868</c:v>
                </c:pt>
                <c:pt idx="50">
                  <c:v>-126.54745303049737</c:v>
                </c:pt>
                <c:pt idx="51">
                  <c:v>-95.763046687932629</c:v>
                </c:pt>
                <c:pt idx="52">
                  <c:v>-64.249825736764222</c:v>
                </c:pt>
                <c:pt idx="53">
                  <c:v>-32.247624816633554</c:v>
                </c:pt>
                <c:pt idx="54">
                  <c:v>-6.7995739247428411E-14</c:v>
                </c:pt>
                <c:pt idx="55">
                  <c:v>32.247624816633419</c:v>
                </c:pt>
                <c:pt idx="56">
                  <c:v>64.249825736764095</c:v>
                </c:pt>
                <c:pt idx="57">
                  <c:v>95.763046687932516</c:v>
                </c:pt>
                <c:pt idx="58">
                  <c:v>126.54745303049752</c:v>
                </c:pt>
                <c:pt idx="59">
                  <c:v>156.36875684405885</c:v>
                </c:pt>
                <c:pt idx="60">
                  <c:v>185.00000000000003</c:v>
                </c:pt>
                <c:pt idx="61">
                  <c:v>212.22328144988703</c:v>
                </c:pt>
                <c:pt idx="62">
                  <c:v>237.83141558401951</c:v>
                </c:pt>
                <c:pt idx="63">
                  <c:v>261.62950903902254</c:v>
                </c:pt>
                <c:pt idx="64">
                  <c:v>283.4364439540218</c:v>
                </c:pt>
                <c:pt idx="65">
                  <c:v>303.08625638692689</c:v>
                </c:pt>
                <c:pt idx="66">
                  <c:v>320.42939940024218</c:v>
                </c:pt>
                <c:pt idx="67">
                  <c:v>335.33388120356051</c:v>
                </c:pt>
                <c:pt idx="68">
                  <c:v>347.68626969078611</c:v>
                </c:pt>
                <c:pt idx="69">
                  <c:v>357.39255572695527</c:v>
                </c:pt>
                <c:pt idx="70">
                  <c:v>364.37886861451699</c:v>
                </c:pt>
                <c:pt idx="71">
                  <c:v>368.59203829394585</c:v>
                </c:pt>
                <c:pt idx="72">
                  <c:v>370</c:v>
                </c:pt>
              </c:numCache>
            </c:numRef>
          </c:xVal>
          <c:yVal>
            <c:numRef>
              <c:f>'Background calcs'!$H$229:$H$301</c:f>
              <c:numCache>
                <c:formatCode>General</c:formatCode>
                <c:ptCount val="73"/>
                <c:pt idx="0">
                  <c:v>0</c:v>
                </c:pt>
                <c:pt idx="1">
                  <c:v>32.247624816633518</c:v>
                </c:pt>
                <c:pt idx="2">
                  <c:v>64.249825736764222</c:v>
                </c:pt>
                <c:pt idx="3">
                  <c:v>95.763046687932672</c:v>
                </c:pt>
                <c:pt idx="4">
                  <c:v>126.54745303049742</c:v>
                </c:pt>
                <c:pt idx="5">
                  <c:v>156.36875684405879</c:v>
                </c:pt>
                <c:pt idx="6">
                  <c:v>184.99999999999997</c:v>
                </c:pt>
                <c:pt idx="7">
                  <c:v>212.22328144988703</c:v>
                </c:pt>
                <c:pt idx="8">
                  <c:v>237.83141558401951</c:v>
                </c:pt>
                <c:pt idx="9">
                  <c:v>261.62950903902254</c:v>
                </c:pt>
                <c:pt idx="10">
                  <c:v>283.43644395402185</c:v>
                </c:pt>
                <c:pt idx="11">
                  <c:v>303.08625638692695</c:v>
                </c:pt>
                <c:pt idx="12">
                  <c:v>320.42939940024229</c:v>
                </c:pt>
                <c:pt idx="13">
                  <c:v>335.33388120356045</c:v>
                </c:pt>
                <c:pt idx="14">
                  <c:v>347.68626969078611</c:v>
                </c:pt>
                <c:pt idx="15">
                  <c:v>357.39255572695527</c:v>
                </c:pt>
                <c:pt idx="16">
                  <c:v>364.37886861451699</c:v>
                </c:pt>
                <c:pt idx="17">
                  <c:v>368.59203829394585</c:v>
                </c:pt>
                <c:pt idx="18">
                  <c:v>370</c:v>
                </c:pt>
                <c:pt idx="19">
                  <c:v>368.59203829394585</c:v>
                </c:pt>
                <c:pt idx="20">
                  <c:v>364.37886861451699</c:v>
                </c:pt>
                <c:pt idx="21">
                  <c:v>357.39255572695527</c:v>
                </c:pt>
                <c:pt idx="22">
                  <c:v>347.68626969078611</c:v>
                </c:pt>
                <c:pt idx="23">
                  <c:v>335.33388120356051</c:v>
                </c:pt>
                <c:pt idx="24">
                  <c:v>320.42939940024235</c:v>
                </c:pt>
                <c:pt idx="25">
                  <c:v>303.08625638692695</c:v>
                </c:pt>
                <c:pt idx="26">
                  <c:v>283.43644395402185</c:v>
                </c:pt>
                <c:pt idx="27">
                  <c:v>261.62950903902259</c:v>
                </c:pt>
                <c:pt idx="28">
                  <c:v>237.8314155840196</c:v>
                </c:pt>
                <c:pt idx="29">
                  <c:v>212.223281449887</c:v>
                </c:pt>
                <c:pt idx="30">
                  <c:v>184.99999999999997</c:v>
                </c:pt>
                <c:pt idx="31">
                  <c:v>156.36875684405882</c:v>
                </c:pt>
                <c:pt idx="32">
                  <c:v>126.54745303049748</c:v>
                </c:pt>
                <c:pt idx="33">
                  <c:v>95.763046687932771</c:v>
                </c:pt>
                <c:pt idx="34">
                  <c:v>64.249825736764208</c:v>
                </c:pt>
                <c:pt idx="35">
                  <c:v>32.247624816633532</c:v>
                </c:pt>
                <c:pt idx="36">
                  <c:v>4.533049283161894E-14</c:v>
                </c:pt>
                <c:pt idx="37">
                  <c:v>-32.24762481663344</c:v>
                </c:pt>
                <c:pt idx="38">
                  <c:v>-64.249825736764279</c:v>
                </c:pt>
                <c:pt idx="39">
                  <c:v>-95.7630466879327</c:v>
                </c:pt>
                <c:pt idx="40">
                  <c:v>-126.54745303049741</c:v>
                </c:pt>
                <c:pt idx="41">
                  <c:v>-156.36875684405874</c:v>
                </c:pt>
                <c:pt idx="42">
                  <c:v>-185.00000000000003</c:v>
                </c:pt>
                <c:pt idx="43">
                  <c:v>-212.22328144988708</c:v>
                </c:pt>
                <c:pt idx="44">
                  <c:v>-237.83141558401951</c:v>
                </c:pt>
                <c:pt idx="45">
                  <c:v>-261.62950903902254</c:v>
                </c:pt>
                <c:pt idx="46">
                  <c:v>-283.4364439540218</c:v>
                </c:pt>
                <c:pt idx="47">
                  <c:v>-303.08625638692689</c:v>
                </c:pt>
                <c:pt idx="48">
                  <c:v>-320.42939940024218</c:v>
                </c:pt>
                <c:pt idx="49">
                  <c:v>-335.33388120356051</c:v>
                </c:pt>
                <c:pt idx="50">
                  <c:v>-347.68626969078611</c:v>
                </c:pt>
                <c:pt idx="51">
                  <c:v>-357.39255572695527</c:v>
                </c:pt>
                <c:pt idx="52">
                  <c:v>-364.37886861451699</c:v>
                </c:pt>
                <c:pt idx="53">
                  <c:v>-368.59203829394585</c:v>
                </c:pt>
                <c:pt idx="54">
                  <c:v>-370</c:v>
                </c:pt>
                <c:pt idx="55">
                  <c:v>-368.59203829394585</c:v>
                </c:pt>
                <c:pt idx="56">
                  <c:v>-364.37886861451699</c:v>
                </c:pt>
                <c:pt idx="57">
                  <c:v>-357.39255572695532</c:v>
                </c:pt>
                <c:pt idx="58">
                  <c:v>-347.68626969078611</c:v>
                </c:pt>
                <c:pt idx="59">
                  <c:v>-335.33388120356045</c:v>
                </c:pt>
                <c:pt idx="60">
                  <c:v>-320.42939940024229</c:v>
                </c:pt>
                <c:pt idx="61">
                  <c:v>-303.08625638692695</c:v>
                </c:pt>
                <c:pt idx="62">
                  <c:v>-283.43644395402191</c:v>
                </c:pt>
                <c:pt idx="63">
                  <c:v>-261.62950903902265</c:v>
                </c:pt>
                <c:pt idx="64">
                  <c:v>-237.83141558401965</c:v>
                </c:pt>
                <c:pt idx="65">
                  <c:v>-212.2232814498872</c:v>
                </c:pt>
                <c:pt idx="66">
                  <c:v>-185.00000000000017</c:v>
                </c:pt>
                <c:pt idx="67">
                  <c:v>-156.36875684405871</c:v>
                </c:pt>
                <c:pt idx="68">
                  <c:v>-126.54745303049738</c:v>
                </c:pt>
                <c:pt idx="69">
                  <c:v>-95.763046687932658</c:v>
                </c:pt>
                <c:pt idx="70">
                  <c:v>-64.249825736764237</c:v>
                </c:pt>
                <c:pt idx="71">
                  <c:v>-32.247624816633575</c:v>
                </c:pt>
                <c:pt idx="72">
                  <c:v>-9.0660985663237881E-14</c:v>
                </c:pt>
              </c:numCache>
            </c:numRef>
          </c:yVal>
          <c:smooth val="0"/>
          <c:extLst>
            <c:ext xmlns:c16="http://schemas.microsoft.com/office/drawing/2014/chart" uri="{C3380CC4-5D6E-409C-BE32-E72D297353CC}">
              <c16:uniqueId val="{00000001-D15F-44AD-8F31-3A5DCD8C1E33}"/>
            </c:ext>
          </c:extLst>
        </c:ser>
        <c:ser>
          <c:idx val="16"/>
          <c:order val="5"/>
          <c:tx>
            <c:v>1_f</c:v>
          </c:tx>
          <c:spPr>
            <a:ln>
              <a:solidFill>
                <a:srgbClr val="FF0000"/>
              </a:solidFill>
            </a:ln>
          </c:spPr>
          <c:marker>
            <c:symbol val="none"/>
          </c:marker>
          <c:xVal>
            <c:numRef>
              <c:f>'Background calcs'!$H$304:$H$376</c:f>
              <c:numCache>
                <c:formatCode>General</c:formatCode>
                <c:ptCount val="73"/>
                <c:pt idx="0">
                  <c:v>1599.1335313107741</c:v>
                </c:pt>
                <c:pt idx="1">
                  <c:v>1597.72556960472</c:v>
                </c:pt>
                <c:pt idx="2">
                  <c:v>1593.512399925291</c:v>
                </c:pt>
                <c:pt idx="3">
                  <c:v>1586.5260870377292</c:v>
                </c:pt>
                <c:pt idx="4">
                  <c:v>1576.8198010015601</c:v>
                </c:pt>
                <c:pt idx="5">
                  <c:v>1564.4674125143345</c:v>
                </c:pt>
                <c:pt idx="6">
                  <c:v>1549.5629307110164</c:v>
                </c:pt>
                <c:pt idx="7">
                  <c:v>1532.2197876977011</c:v>
                </c:pt>
                <c:pt idx="8">
                  <c:v>1512.5699752647959</c:v>
                </c:pt>
                <c:pt idx="9">
                  <c:v>1490.7630403497967</c:v>
                </c:pt>
                <c:pt idx="10">
                  <c:v>1466.9649468947937</c:v>
                </c:pt>
                <c:pt idx="11">
                  <c:v>1441.3568127606611</c:v>
                </c:pt>
                <c:pt idx="12">
                  <c:v>1414.1335313107741</c:v>
                </c:pt>
                <c:pt idx="13">
                  <c:v>1385.502288154833</c:v>
                </c:pt>
                <c:pt idx="14">
                  <c:v>1355.6809843412716</c:v>
                </c:pt>
                <c:pt idx="15">
                  <c:v>1324.8965779987068</c:v>
                </c:pt>
                <c:pt idx="16">
                  <c:v>1293.3833570475383</c:v>
                </c:pt>
                <c:pt idx="17">
                  <c:v>1261.3811561274076</c:v>
                </c:pt>
                <c:pt idx="18">
                  <c:v>1229.1335313107741</c:v>
                </c:pt>
                <c:pt idx="19">
                  <c:v>1196.8859064941405</c:v>
                </c:pt>
                <c:pt idx="20">
                  <c:v>1164.8837055740098</c:v>
                </c:pt>
                <c:pt idx="21">
                  <c:v>1133.3704846228413</c:v>
                </c:pt>
                <c:pt idx="22">
                  <c:v>1102.5860782802765</c:v>
                </c:pt>
                <c:pt idx="23">
                  <c:v>1072.7647744667154</c:v>
                </c:pt>
                <c:pt idx="24">
                  <c:v>1044.1335313107741</c:v>
                </c:pt>
                <c:pt idx="25">
                  <c:v>1016.910249860887</c:v>
                </c:pt>
                <c:pt idx="26">
                  <c:v>991.30211572675444</c:v>
                </c:pt>
                <c:pt idx="27">
                  <c:v>967.50402227175152</c:v>
                </c:pt>
                <c:pt idx="28">
                  <c:v>945.69708735675226</c:v>
                </c:pt>
                <c:pt idx="29">
                  <c:v>926.047274923847</c:v>
                </c:pt>
                <c:pt idx="30">
                  <c:v>908.70413191053171</c:v>
                </c:pt>
                <c:pt idx="31">
                  <c:v>893.79965010721367</c:v>
                </c:pt>
                <c:pt idx="32">
                  <c:v>881.44726161998801</c:v>
                </c:pt>
                <c:pt idx="33">
                  <c:v>871.74097558381891</c:v>
                </c:pt>
                <c:pt idx="34">
                  <c:v>864.75466269625713</c:v>
                </c:pt>
                <c:pt idx="35">
                  <c:v>860.54149301682821</c:v>
                </c:pt>
                <c:pt idx="36">
                  <c:v>859.13353131077406</c:v>
                </c:pt>
                <c:pt idx="37">
                  <c:v>860.54149301682821</c:v>
                </c:pt>
                <c:pt idx="38">
                  <c:v>864.75466269625713</c:v>
                </c:pt>
                <c:pt idx="39">
                  <c:v>871.74097558381879</c:v>
                </c:pt>
                <c:pt idx="40">
                  <c:v>881.44726161998801</c:v>
                </c:pt>
                <c:pt idx="41">
                  <c:v>893.79965010721355</c:v>
                </c:pt>
                <c:pt idx="42">
                  <c:v>908.70413191053171</c:v>
                </c:pt>
                <c:pt idx="43">
                  <c:v>926.04727492384711</c:v>
                </c:pt>
                <c:pt idx="44">
                  <c:v>945.69708735675226</c:v>
                </c:pt>
                <c:pt idx="45">
                  <c:v>967.50402227175141</c:v>
                </c:pt>
                <c:pt idx="46">
                  <c:v>991.30211572675444</c:v>
                </c:pt>
                <c:pt idx="47">
                  <c:v>1016.9102498608869</c:v>
                </c:pt>
                <c:pt idx="48">
                  <c:v>1044.1335313107738</c:v>
                </c:pt>
                <c:pt idx="49">
                  <c:v>1072.7647744667154</c:v>
                </c:pt>
                <c:pt idx="50">
                  <c:v>1102.5860782802768</c:v>
                </c:pt>
                <c:pt idx="51">
                  <c:v>1133.3704846228413</c:v>
                </c:pt>
                <c:pt idx="52">
                  <c:v>1164.8837055740098</c:v>
                </c:pt>
                <c:pt idx="53">
                  <c:v>1196.8859064941405</c:v>
                </c:pt>
                <c:pt idx="54">
                  <c:v>1229.1335313107741</c:v>
                </c:pt>
                <c:pt idx="55">
                  <c:v>1261.3811561274074</c:v>
                </c:pt>
                <c:pt idx="56">
                  <c:v>1293.3833570475381</c:v>
                </c:pt>
                <c:pt idx="57">
                  <c:v>1324.8965779987066</c:v>
                </c:pt>
                <c:pt idx="58">
                  <c:v>1355.6809843412716</c:v>
                </c:pt>
                <c:pt idx="59">
                  <c:v>1385.502288154833</c:v>
                </c:pt>
                <c:pt idx="60">
                  <c:v>1414.1335313107741</c:v>
                </c:pt>
                <c:pt idx="61">
                  <c:v>1441.3568127606611</c:v>
                </c:pt>
                <c:pt idx="62">
                  <c:v>1466.9649468947937</c:v>
                </c:pt>
                <c:pt idx="63">
                  <c:v>1490.7630403497965</c:v>
                </c:pt>
                <c:pt idx="64">
                  <c:v>1512.5699752647959</c:v>
                </c:pt>
                <c:pt idx="65">
                  <c:v>1532.2197876977009</c:v>
                </c:pt>
                <c:pt idx="66">
                  <c:v>1549.5629307110162</c:v>
                </c:pt>
                <c:pt idx="67">
                  <c:v>1564.4674125143347</c:v>
                </c:pt>
                <c:pt idx="68">
                  <c:v>1576.8198010015601</c:v>
                </c:pt>
                <c:pt idx="69">
                  <c:v>1586.5260870377292</c:v>
                </c:pt>
                <c:pt idx="70">
                  <c:v>1593.512399925291</c:v>
                </c:pt>
                <c:pt idx="71">
                  <c:v>1597.72556960472</c:v>
                </c:pt>
                <c:pt idx="72">
                  <c:v>1599.1335313107741</c:v>
                </c:pt>
              </c:numCache>
            </c:numRef>
          </c:xVal>
          <c:yVal>
            <c:numRef>
              <c:f>'Background calcs'!$H$378:$H$450</c:f>
              <c:numCache>
                <c:formatCode>General</c:formatCode>
                <c:ptCount val="73"/>
                <c:pt idx="0">
                  <c:v>0</c:v>
                </c:pt>
                <c:pt idx="1">
                  <c:v>32.247624816633518</c:v>
                </c:pt>
                <c:pt idx="2">
                  <c:v>64.249825736764222</c:v>
                </c:pt>
                <c:pt idx="3">
                  <c:v>95.763046687932672</c:v>
                </c:pt>
                <c:pt idx="4">
                  <c:v>126.54745303049742</c:v>
                </c:pt>
                <c:pt idx="5">
                  <c:v>156.36875684405879</c:v>
                </c:pt>
                <c:pt idx="6">
                  <c:v>184.99999999999997</c:v>
                </c:pt>
                <c:pt idx="7">
                  <c:v>212.22328144988703</c:v>
                </c:pt>
                <c:pt idx="8">
                  <c:v>237.83141558401951</c:v>
                </c:pt>
                <c:pt idx="9">
                  <c:v>261.62950903902254</c:v>
                </c:pt>
                <c:pt idx="10">
                  <c:v>283.43644395402185</c:v>
                </c:pt>
                <c:pt idx="11">
                  <c:v>303.08625638692695</c:v>
                </c:pt>
                <c:pt idx="12">
                  <c:v>320.42939940024229</c:v>
                </c:pt>
                <c:pt idx="13">
                  <c:v>335.33388120356045</c:v>
                </c:pt>
                <c:pt idx="14">
                  <c:v>347.68626969078611</c:v>
                </c:pt>
                <c:pt idx="15">
                  <c:v>357.39255572695527</c:v>
                </c:pt>
                <c:pt idx="16">
                  <c:v>364.37886861451699</c:v>
                </c:pt>
                <c:pt idx="17">
                  <c:v>368.59203829394585</c:v>
                </c:pt>
                <c:pt idx="18">
                  <c:v>370</c:v>
                </c:pt>
                <c:pt idx="19">
                  <c:v>368.59203829394585</c:v>
                </c:pt>
                <c:pt idx="20">
                  <c:v>364.37886861451699</c:v>
                </c:pt>
                <c:pt idx="21">
                  <c:v>357.39255572695527</c:v>
                </c:pt>
                <c:pt idx="22">
                  <c:v>347.68626969078611</c:v>
                </c:pt>
                <c:pt idx="23">
                  <c:v>335.33388120356051</c:v>
                </c:pt>
                <c:pt idx="24">
                  <c:v>320.42939940024235</c:v>
                </c:pt>
                <c:pt idx="25">
                  <c:v>303.08625638692695</c:v>
                </c:pt>
                <c:pt idx="26">
                  <c:v>283.43644395402185</c:v>
                </c:pt>
                <c:pt idx="27">
                  <c:v>261.62950903902259</c:v>
                </c:pt>
                <c:pt idx="28">
                  <c:v>237.8314155840196</c:v>
                </c:pt>
                <c:pt idx="29">
                  <c:v>212.223281449887</c:v>
                </c:pt>
                <c:pt idx="30">
                  <c:v>184.99999999999997</c:v>
                </c:pt>
                <c:pt idx="31">
                  <c:v>156.36875684405882</c:v>
                </c:pt>
                <c:pt idx="32">
                  <c:v>126.54745303049748</c:v>
                </c:pt>
                <c:pt idx="33">
                  <c:v>95.763046687932771</c:v>
                </c:pt>
                <c:pt idx="34">
                  <c:v>64.249825736764208</c:v>
                </c:pt>
                <c:pt idx="35">
                  <c:v>32.247624816633532</c:v>
                </c:pt>
                <c:pt idx="36">
                  <c:v>4.533049283161894E-14</c:v>
                </c:pt>
                <c:pt idx="37">
                  <c:v>-32.24762481663344</c:v>
                </c:pt>
                <c:pt idx="38">
                  <c:v>-64.249825736764279</c:v>
                </c:pt>
                <c:pt idx="39">
                  <c:v>-95.7630466879327</c:v>
                </c:pt>
                <c:pt idx="40">
                  <c:v>-126.54745303049741</c:v>
                </c:pt>
                <c:pt idx="41">
                  <c:v>-156.36875684405874</c:v>
                </c:pt>
                <c:pt idx="42">
                  <c:v>-185.00000000000003</c:v>
                </c:pt>
                <c:pt idx="43">
                  <c:v>-212.22328144988708</c:v>
                </c:pt>
                <c:pt idx="44">
                  <c:v>-237.83141558401951</c:v>
                </c:pt>
                <c:pt idx="45">
                  <c:v>-261.62950903902254</c:v>
                </c:pt>
                <c:pt idx="46">
                  <c:v>-283.4364439540218</c:v>
                </c:pt>
                <c:pt idx="47">
                  <c:v>-303.08625638692689</c:v>
                </c:pt>
                <c:pt idx="48">
                  <c:v>-320.42939940024218</c:v>
                </c:pt>
                <c:pt idx="49">
                  <c:v>-335.33388120356051</c:v>
                </c:pt>
                <c:pt idx="50">
                  <c:v>-347.68626969078611</c:v>
                </c:pt>
                <c:pt idx="51">
                  <c:v>-357.39255572695527</c:v>
                </c:pt>
                <c:pt idx="52">
                  <c:v>-364.37886861451699</c:v>
                </c:pt>
                <c:pt idx="53">
                  <c:v>-368.59203829394585</c:v>
                </c:pt>
                <c:pt idx="54">
                  <c:v>-370</c:v>
                </c:pt>
                <c:pt idx="55">
                  <c:v>-368.59203829394585</c:v>
                </c:pt>
                <c:pt idx="56">
                  <c:v>-364.37886861451699</c:v>
                </c:pt>
                <c:pt idx="57">
                  <c:v>-357.39255572695532</c:v>
                </c:pt>
                <c:pt idx="58">
                  <c:v>-347.68626969078611</c:v>
                </c:pt>
                <c:pt idx="59">
                  <c:v>-335.33388120356045</c:v>
                </c:pt>
                <c:pt idx="60">
                  <c:v>-320.42939940024229</c:v>
                </c:pt>
                <c:pt idx="61">
                  <c:v>-303.08625638692695</c:v>
                </c:pt>
                <c:pt idx="62">
                  <c:v>-283.43644395402191</c:v>
                </c:pt>
                <c:pt idx="63">
                  <c:v>-261.62950903902265</c:v>
                </c:pt>
                <c:pt idx="64">
                  <c:v>-237.83141558401965</c:v>
                </c:pt>
                <c:pt idx="65">
                  <c:v>-212.2232814498872</c:v>
                </c:pt>
                <c:pt idx="66">
                  <c:v>-185.00000000000017</c:v>
                </c:pt>
                <c:pt idx="67">
                  <c:v>-156.36875684405871</c:v>
                </c:pt>
                <c:pt idx="68">
                  <c:v>-126.54745303049738</c:v>
                </c:pt>
                <c:pt idx="69">
                  <c:v>-95.763046687932658</c:v>
                </c:pt>
                <c:pt idx="70">
                  <c:v>-64.249825736764237</c:v>
                </c:pt>
                <c:pt idx="71">
                  <c:v>-32.247624816633575</c:v>
                </c:pt>
                <c:pt idx="72">
                  <c:v>-9.0660985663237881E-14</c:v>
                </c:pt>
              </c:numCache>
            </c:numRef>
          </c:yVal>
          <c:smooth val="0"/>
          <c:extLst>
            <c:ext xmlns:c16="http://schemas.microsoft.com/office/drawing/2014/chart" uri="{C3380CC4-5D6E-409C-BE32-E72D297353CC}">
              <c16:uniqueId val="{00000000-D15F-44AD-8F31-3A5DCD8C1E33}"/>
            </c:ext>
          </c:extLst>
        </c:ser>
        <c:ser>
          <c:idx val="1"/>
          <c:order val="6"/>
          <c:tx>
            <c:v>1m_F</c:v>
          </c:tx>
          <c:spPr>
            <a:ln>
              <a:solidFill>
                <a:srgbClr val="FF8080">
                  <a:alpha val="50000"/>
                </a:srgbClr>
              </a:solidFill>
            </a:ln>
          </c:spPr>
          <c:marker>
            <c:symbol val="none"/>
          </c:marker>
          <c:xVal>
            <c:numRef>
              <c:f>('Background calcs'!$J$120,'Background calcs'!$J$88,'Background calcs'!$J$90,'Background calcs'!$J$69,'Background calcs'!$J$65,'Background calcs'!$J$88,'Background calcs'!$J$75,'Background calcs'!$J$73,'Background calcs'!$J$69,'Background calcs'!$J$73,'Background calcs'!$J$85)</c:f>
              <c:numCache>
                <c:formatCode>General</c:formatCode>
                <c:ptCount val="11"/>
                <c:pt idx="0">
                  <c:v>264.17479456147083</c:v>
                </c:pt>
                <c:pt idx="1">
                  <c:v>387.99439466597602</c:v>
                </c:pt>
                <c:pt idx="2">
                  <c:v>444.35576658920263</c:v>
                </c:pt>
                <c:pt idx="3">
                  <c:v>446.70673786560144</c:v>
                </c:pt>
                <c:pt idx="4">
                  <c:v>0</c:v>
                </c:pt>
                <c:pt idx="5">
                  <c:v>387.99439466597602</c:v>
                </c:pt>
                <c:pt idx="6">
                  <c:v>890.28293729417851</c:v>
                </c:pt>
                <c:pt idx="7">
                  <c:v>947.01853146346787</c:v>
                </c:pt>
                <c:pt idx="8">
                  <c:v>446.70673786560144</c:v>
                </c:pt>
                <c:pt idx="9">
                  <c:v>947.01853146346787</c:v>
                </c:pt>
                <c:pt idx="10">
                  <c:v>1263.7873115853697</c:v>
                </c:pt>
              </c:numCache>
            </c:numRef>
          </c:xVal>
          <c:yVal>
            <c:numRef>
              <c:f>('Background calcs'!$J$121,'Background calcs'!$J$87,'Background calcs'!$J$91,'Background calcs'!$J$70,'Background calcs'!$J$66,'Background calcs'!$J$87,'Background calcs'!$J$76,'Background calcs'!$J$74,'Background calcs'!$J$70,'Background calcs'!$J$74,'Background calcs'!$J$81)</c:f>
              <c:numCache>
                <c:formatCode>General</c:formatCode>
                <c:ptCount val="11"/>
                <c:pt idx="0">
                  <c:v>680.61322147201292</c:v>
                </c:pt>
                <c:pt idx="1">
                  <c:v>334.74635471206216</c:v>
                </c:pt>
                <c:pt idx="2">
                  <c:v>177.31141632649238</c:v>
                </c:pt>
                <c:pt idx="3">
                  <c:v>-15.865126844442461</c:v>
                </c:pt>
                <c:pt idx="4">
                  <c:v>0</c:v>
                </c:pt>
                <c:pt idx="5">
                  <c:v>334.74635471206216</c:v>
                </c:pt>
                <c:pt idx="6">
                  <c:v>614.77546864700753</c:v>
                </c:pt>
                <c:pt idx="7">
                  <c:v>508.95187685245071</c:v>
                </c:pt>
                <c:pt idx="8">
                  <c:v>-15.865126844442461</c:v>
                </c:pt>
                <c:pt idx="9">
                  <c:v>508.95187685245071</c:v>
                </c:pt>
                <c:pt idx="10">
                  <c:v>6.9999999999999982</c:v>
                </c:pt>
              </c:numCache>
            </c:numRef>
          </c:yVal>
          <c:smooth val="0"/>
          <c:extLst>
            <c:ext xmlns:c16="http://schemas.microsoft.com/office/drawing/2014/chart" uri="{C3380CC4-5D6E-409C-BE32-E72D297353CC}">
              <c16:uniqueId val="{00000002-1673-41D7-A5FC-7E26F328539E}"/>
            </c:ext>
          </c:extLst>
        </c:ser>
        <c:ser>
          <c:idx val="2"/>
          <c:order val="7"/>
          <c:tx>
            <c:v>1m_S</c:v>
          </c:tx>
          <c:marker>
            <c:symbol val="none"/>
          </c:marker>
          <c:dPt>
            <c:idx val="1"/>
            <c:bubble3D val="0"/>
            <c:spPr>
              <a:ln>
                <a:solidFill>
                  <a:srgbClr val="FF8080">
                    <a:alpha val="50000"/>
                  </a:srgbClr>
                </a:solidFill>
              </a:ln>
            </c:spPr>
            <c:extLst>
              <c:ext xmlns:c16="http://schemas.microsoft.com/office/drawing/2014/chart" uri="{C3380CC4-5D6E-409C-BE32-E72D297353CC}">
                <c16:uniqueId val="{00000008-1673-41D7-A5FC-7E26F328539E}"/>
              </c:ext>
            </c:extLst>
          </c:dPt>
          <c:xVal>
            <c:numRef>
              <c:f>('Background calcs'!$J$116,'Background calcs'!$J$118)</c:f>
              <c:numCache>
                <c:formatCode>General</c:formatCode>
                <c:ptCount val="2"/>
                <c:pt idx="0">
                  <c:v>352.17479456147083</c:v>
                </c:pt>
                <c:pt idx="1">
                  <c:v>172.17479456147083</c:v>
                </c:pt>
              </c:numCache>
            </c:numRef>
          </c:xVal>
          <c:yVal>
            <c:numRef>
              <c:f>('Background calcs'!$J$117,'Background calcs'!$J$119)</c:f>
              <c:numCache>
                <c:formatCode>General</c:formatCode>
                <c:ptCount val="2"/>
                <c:pt idx="0">
                  <c:v>680.61322147201292</c:v>
                </c:pt>
                <c:pt idx="1">
                  <c:v>680.61322147201292</c:v>
                </c:pt>
              </c:numCache>
            </c:numRef>
          </c:yVal>
          <c:smooth val="0"/>
          <c:extLst>
            <c:ext xmlns:c16="http://schemas.microsoft.com/office/drawing/2014/chart" uri="{C3380CC4-5D6E-409C-BE32-E72D297353CC}">
              <c16:uniqueId val="{00000003-1673-41D7-A5FC-7E26F328539E}"/>
            </c:ext>
          </c:extLst>
        </c:ser>
        <c:ser>
          <c:idx val="3"/>
          <c:order val="8"/>
          <c:tx>
            <c:v>1m_C</c:v>
          </c:tx>
          <c:spPr>
            <a:ln>
              <a:solidFill>
                <a:srgbClr val="FF8080">
                  <a:alpha val="50000"/>
                </a:srgbClr>
              </a:solidFill>
            </a:ln>
          </c:spPr>
          <c:marker>
            <c:symbol val="none"/>
          </c:marker>
          <c:xVal>
            <c:numRef>
              <c:f>('Background calcs'!$J$77,'Background calcs'!$J$94,'Background calcs'!$J$97,'Background calcs'!$J$100,'Background calcs'!$J$106)</c:f>
              <c:numCache>
                <c:formatCode>General</c:formatCode>
                <c:ptCount val="5"/>
                <c:pt idx="0">
                  <c:v>890.28293729417851</c:v>
                </c:pt>
                <c:pt idx="1">
                  <c:v>866.65750713656769</c:v>
                </c:pt>
                <c:pt idx="2">
                  <c:v>901.91054944379869</c:v>
                </c:pt>
                <c:pt idx="3">
                  <c:v>896.063115349344</c:v>
                </c:pt>
                <c:pt idx="4">
                  <c:v>862.07864228486369</c:v>
                </c:pt>
              </c:numCache>
            </c:numRef>
          </c:xVal>
          <c:yVal>
            <c:numRef>
              <c:f>('Background calcs'!$J$78,'Background calcs'!$J$95,'Background calcs'!$J$98,'Background calcs'!$J$101,'Background calcs'!$J$107)</c:f>
              <c:numCache>
                <c:formatCode>General</c:formatCode>
                <c:ptCount val="5"/>
                <c:pt idx="0">
                  <c:v>614.77546864700753</c:v>
                </c:pt>
                <c:pt idx="1">
                  <c:v>658.84177153104645</c:v>
                </c:pt>
                <c:pt idx="2">
                  <c:v>677.74211565713506</c:v>
                </c:pt>
                <c:pt idx="3">
                  <c:v>696.86821077639581</c:v>
                </c:pt>
                <c:pt idx="4">
                  <c:v>706.07279363755299</c:v>
                </c:pt>
              </c:numCache>
            </c:numRef>
          </c:yVal>
          <c:smooth val="0"/>
          <c:extLst>
            <c:ext xmlns:c16="http://schemas.microsoft.com/office/drawing/2014/chart" uri="{C3380CC4-5D6E-409C-BE32-E72D297353CC}">
              <c16:uniqueId val="{00000004-1673-41D7-A5FC-7E26F328539E}"/>
            </c:ext>
          </c:extLst>
        </c:ser>
        <c:ser>
          <c:idx val="4"/>
          <c:order val="9"/>
          <c:tx>
            <c:v>1m_P</c:v>
          </c:tx>
          <c:spPr>
            <a:ln>
              <a:solidFill>
                <a:srgbClr val="FF8080">
                  <a:alpha val="50000"/>
                </a:srgbClr>
              </a:solidFill>
            </a:ln>
          </c:spPr>
          <c:marker>
            <c:symbol val="none"/>
          </c:marker>
          <c:xVal>
            <c:numRef>
              <c:f>('Background calcs'!$J$71,'Background calcs'!$J$108,'Background calcs'!$J$110,'Background calcs'!$J$112)</c:f>
              <c:numCache>
                <c:formatCode>General</c:formatCode>
                <c:ptCount val="4"/>
                <c:pt idx="0">
                  <c:v>446.70673786560144</c:v>
                </c:pt>
                <c:pt idx="1">
                  <c:v>446.70673786560144</c:v>
                </c:pt>
                <c:pt idx="2">
                  <c:v>496.70673786560144</c:v>
                </c:pt>
                <c:pt idx="3">
                  <c:v>396.70673786560144</c:v>
                </c:pt>
              </c:numCache>
            </c:numRef>
          </c:xVal>
          <c:yVal>
            <c:numRef>
              <c:f>('Background calcs'!$J$72,'Background calcs'!$J$109,'Background calcs'!$J$111,'Background calcs'!$J$113)</c:f>
              <c:numCache>
                <c:formatCode>General</c:formatCode>
                <c:ptCount val="4"/>
                <c:pt idx="0">
                  <c:v>-15.865126844442461</c:v>
                </c:pt>
                <c:pt idx="1">
                  <c:v>-185.86512684444247</c:v>
                </c:pt>
                <c:pt idx="2">
                  <c:v>-185.86512684444247</c:v>
                </c:pt>
                <c:pt idx="3">
                  <c:v>-185.86512684444247</c:v>
                </c:pt>
              </c:numCache>
            </c:numRef>
          </c:yVal>
          <c:smooth val="0"/>
          <c:extLst>
            <c:ext xmlns:c16="http://schemas.microsoft.com/office/drawing/2014/chart" uri="{C3380CC4-5D6E-409C-BE32-E72D297353CC}">
              <c16:uniqueId val="{00000005-1673-41D7-A5FC-7E26F328539E}"/>
            </c:ext>
          </c:extLst>
        </c:ser>
        <c:ser>
          <c:idx val="5"/>
          <c:order val="10"/>
          <c:tx>
            <c:v>1m_r</c:v>
          </c:tx>
          <c:spPr>
            <a:ln>
              <a:solidFill>
                <a:srgbClr val="FF8080">
                  <a:alpha val="50000"/>
                </a:srgbClr>
              </a:solidFill>
            </a:ln>
          </c:spPr>
          <c:marker>
            <c:symbol val="none"/>
          </c:marker>
          <c:xVal>
            <c:numRef>
              <c:f>'Background calcs'!$J$155:$J$227</c:f>
              <c:numCache>
                <c:formatCode>General</c:formatCode>
                <c:ptCount val="73"/>
                <c:pt idx="0">
                  <c:v>370</c:v>
                </c:pt>
                <c:pt idx="1">
                  <c:v>368.59203829394585</c:v>
                </c:pt>
                <c:pt idx="2">
                  <c:v>364.37886861451699</c:v>
                </c:pt>
                <c:pt idx="3">
                  <c:v>357.39255572695527</c:v>
                </c:pt>
                <c:pt idx="4">
                  <c:v>347.68626969078611</c:v>
                </c:pt>
                <c:pt idx="5">
                  <c:v>335.33388120356045</c:v>
                </c:pt>
                <c:pt idx="6">
                  <c:v>320.42939940024235</c:v>
                </c:pt>
                <c:pt idx="7">
                  <c:v>303.08625638692695</c:v>
                </c:pt>
                <c:pt idx="8">
                  <c:v>283.43644395402185</c:v>
                </c:pt>
                <c:pt idx="9">
                  <c:v>261.62950903902259</c:v>
                </c:pt>
                <c:pt idx="10">
                  <c:v>237.83141558401957</c:v>
                </c:pt>
                <c:pt idx="11">
                  <c:v>212.22328144988708</c:v>
                </c:pt>
                <c:pt idx="12">
                  <c:v>185.00000000000003</c:v>
                </c:pt>
                <c:pt idx="13">
                  <c:v>156.36875684405879</c:v>
                </c:pt>
                <c:pt idx="14">
                  <c:v>126.54745303049746</c:v>
                </c:pt>
                <c:pt idx="15">
                  <c:v>95.763046687932672</c:v>
                </c:pt>
                <c:pt idx="16">
                  <c:v>64.249825736764251</c:v>
                </c:pt>
                <c:pt idx="17">
                  <c:v>32.247624816633511</c:v>
                </c:pt>
                <c:pt idx="18">
                  <c:v>2.266524641580947E-14</c:v>
                </c:pt>
                <c:pt idx="19">
                  <c:v>-32.247624816633547</c:v>
                </c:pt>
                <c:pt idx="20">
                  <c:v>-64.249825736764208</c:v>
                </c:pt>
                <c:pt idx="21">
                  <c:v>-95.763046687932714</c:v>
                </c:pt>
                <c:pt idx="22">
                  <c:v>-126.54745303049742</c:v>
                </c:pt>
                <c:pt idx="23">
                  <c:v>-156.36875684405877</c:v>
                </c:pt>
                <c:pt idx="24">
                  <c:v>-184.99999999999991</c:v>
                </c:pt>
                <c:pt idx="25">
                  <c:v>-212.22328144988708</c:v>
                </c:pt>
                <c:pt idx="26">
                  <c:v>-237.83141558401957</c:v>
                </c:pt>
                <c:pt idx="27">
                  <c:v>-261.62950903902254</c:v>
                </c:pt>
                <c:pt idx="28">
                  <c:v>-283.4364439540218</c:v>
                </c:pt>
                <c:pt idx="29">
                  <c:v>-303.086256386927</c:v>
                </c:pt>
                <c:pt idx="30">
                  <c:v>-320.42939940024235</c:v>
                </c:pt>
                <c:pt idx="31">
                  <c:v>-335.33388120356045</c:v>
                </c:pt>
                <c:pt idx="32">
                  <c:v>-347.68626969078611</c:v>
                </c:pt>
                <c:pt idx="33">
                  <c:v>-357.39255572695521</c:v>
                </c:pt>
                <c:pt idx="34">
                  <c:v>-364.37886861451699</c:v>
                </c:pt>
                <c:pt idx="35">
                  <c:v>-368.59203829394585</c:v>
                </c:pt>
                <c:pt idx="36">
                  <c:v>-370</c:v>
                </c:pt>
                <c:pt idx="37">
                  <c:v>-368.59203829394585</c:v>
                </c:pt>
                <c:pt idx="38">
                  <c:v>-364.37886861451699</c:v>
                </c:pt>
                <c:pt idx="39">
                  <c:v>-357.39255572695527</c:v>
                </c:pt>
                <c:pt idx="40">
                  <c:v>-347.68626969078611</c:v>
                </c:pt>
                <c:pt idx="41">
                  <c:v>-335.33388120356051</c:v>
                </c:pt>
                <c:pt idx="42">
                  <c:v>-320.42939940024229</c:v>
                </c:pt>
                <c:pt idx="43">
                  <c:v>-303.08625638692695</c:v>
                </c:pt>
                <c:pt idx="44">
                  <c:v>-283.43644395402185</c:v>
                </c:pt>
                <c:pt idx="45">
                  <c:v>-261.62950903902265</c:v>
                </c:pt>
                <c:pt idx="46">
                  <c:v>-237.8314155840196</c:v>
                </c:pt>
                <c:pt idx="47">
                  <c:v>-212.22328144988717</c:v>
                </c:pt>
                <c:pt idx="48">
                  <c:v>-185.00000000000017</c:v>
                </c:pt>
                <c:pt idx="49">
                  <c:v>-156.36875684405868</c:v>
                </c:pt>
                <c:pt idx="50">
                  <c:v>-126.54745303049737</c:v>
                </c:pt>
                <c:pt idx="51">
                  <c:v>-95.763046687932629</c:v>
                </c:pt>
                <c:pt idx="52">
                  <c:v>-64.249825736764222</c:v>
                </c:pt>
                <c:pt idx="53">
                  <c:v>-32.247624816633554</c:v>
                </c:pt>
                <c:pt idx="54">
                  <c:v>-6.7995739247428411E-14</c:v>
                </c:pt>
                <c:pt idx="55">
                  <c:v>32.247624816633419</c:v>
                </c:pt>
                <c:pt idx="56">
                  <c:v>64.249825736764095</c:v>
                </c:pt>
                <c:pt idx="57">
                  <c:v>95.763046687932516</c:v>
                </c:pt>
                <c:pt idx="58">
                  <c:v>126.54745303049752</c:v>
                </c:pt>
                <c:pt idx="59">
                  <c:v>156.36875684405885</c:v>
                </c:pt>
                <c:pt idx="60">
                  <c:v>185.00000000000003</c:v>
                </c:pt>
                <c:pt idx="61">
                  <c:v>212.22328144988703</c:v>
                </c:pt>
                <c:pt idx="62">
                  <c:v>237.83141558401951</c:v>
                </c:pt>
                <c:pt idx="63">
                  <c:v>261.62950903902254</c:v>
                </c:pt>
                <c:pt idx="64">
                  <c:v>283.4364439540218</c:v>
                </c:pt>
                <c:pt idx="65">
                  <c:v>303.08625638692689</c:v>
                </c:pt>
                <c:pt idx="66">
                  <c:v>320.42939940024218</c:v>
                </c:pt>
                <c:pt idx="67">
                  <c:v>335.33388120356051</c:v>
                </c:pt>
                <c:pt idx="68">
                  <c:v>347.68626969078611</c:v>
                </c:pt>
                <c:pt idx="69">
                  <c:v>357.39255572695527</c:v>
                </c:pt>
                <c:pt idx="70">
                  <c:v>364.37886861451699</c:v>
                </c:pt>
                <c:pt idx="71">
                  <c:v>368.59203829394585</c:v>
                </c:pt>
                <c:pt idx="72">
                  <c:v>370</c:v>
                </c:pt>
              </c:numCache>
            </c:numRef>
          </c:xVal>
          <c:yVal>
            <c:numRef>
              <c:f>'Background calcs'!$J$229:$J$301</c:f>
              <c:numCache>
                <c:formatCode>General</c:formatCode>
                <c:ptCount val="73"/>
                <c:pt idx="0">
                  <c:v>0</c:v>
                </c:pt>
                <c:pt idx="1">
                  <c:v>32.247624816633518</c:v>
                </c:pt>
                <c:pt idx="2">
                  <c:v>64.249825736764222</c:v>
                </c:pt>
                <c:pt idx="3">
                  <c:v>95.763046687932672</c:v>
                </c:pt>
                <c:pt idx="4">
                  <c:v>126.54745303049742</c:v>
                </c:pt>
                <c:pt idx="5">
                  <c:v>156.36875684405879</c:v>
                </c:pt>
                <c:pt idx="6">
                  <c:v>184.99999999999997</c:v>
                </c:pt>
                <c:pt idx="7">
                  <c:v>212.22328144988703</c:v>
                </c:pt>
                <c:pt idx="8">
                  <c:v>237.83141558401951</c:v>
                </c:pt>
                <c:pt idx="9">
                  <c:v>261.62950903902254</c:v>
                </c:pt>
                <c:pt idx="10">
                  <c:v>283.43644395402185</c:v>
                </c:pt>
                <c:pt idx="11">
                  <c:v>303.08625638692695</c:v>
                </c:pt>
                <c:pt idx="12">
                  <c:v>320.42939940024229</c:v>
                </c:pt>
                <c:pt idx="13">
                  <c:v>335.33388120356045</c:v>
                </c:pt>
                <c:pt idx="14">
                  <c:v>347.68626969078611</c:v>
                </c:pt>
                <c:pt idx="15">
                  <c:v>357.39255572695527</c:v>
                </c:pt>
                <c:pt idx="16">
                  <c:v>364.37886861451699</c:v>
                </c:pt>
                <c:pt idx="17">
                  <c:v>368.59203829394585</c:v>
                </c:pt>
                <c:pt idx="18">
                  <c:v>370</c:v>
                </c:pt>
                <c:pt idx="19">
                  <c:v>368.59203829394585</c:v>
                </c:pt>
                <c:pt idx="20">
                  <c:v>364.37886861451699</c:v>
                </c:pt>
                <c:pt idx="21">
                  <c:v>357.39255572695527</c:v>
                </c:pt>
                <c:pt idx="22">
                  <c:v>347.68626969078611</c:v>
                </c:pt>
                <c:pt idx="23">
                  <c:v>335.33388120356051</c:v>
                </c:pt>
                <c:pt idx="24">
                  <c:v>320.42939940024235</c:v>
                </c:pt>
                <c:pt idx="25">
                  <c:v>303.08625638692695</c:v>
                </c:pt>
                <c:pt idx="26">
                  <c:v>283.43644395402185</c:v>
                </c:pt>
                <c:pt idx="27">
                  <c:v>261.62950903902259</c:v>
                </c:pt>
                <c:pt idx="28">
                  <c:v>237.8314155840196</c:v>
                </c:pt>
                <c:pt idx="29">
                  <c:v>212.223281449887</c:v>
                </c:pt>
                <c:pt idx="30">
                  <c:v>184.99999999999997</c:v>
                </c:pt>
                <c:pt idx="31">
                  <c:v>156.36875684405882</c:v>
                </c:pt>
                <c:pt idx="32">
                  <c:v>126.54745303049748</c:v>
                </c:pt>
                <c:pt idx="33">
                  <c:v>95.763046687932771</c:v>
                </c:pt>
                <c:pt idx="34">
                  <c:v>64.249825736764208</c:v>
                </c:pt>
                <c:pt idx="35">
                  <c:v>32.247624816633532</c:v>
                </c:pt>
                <c:pt idx="36">
                  <c:v>4.533049283161894E-14</c:v>
                </c:pt>
                <c:pt idx="37">
                  <c:v>-32.24762481663344</c:v>
                </c:pt>
                <c:pt idx="38">
                  <c:v>-64.249825736764279</c:v>
                </c:pt>
                <c:pt idx="39">
                  <c:v>-95.7630466879327</c:v>
                </c:pt>
                <c:pt idx="40">
                  <c:v>-126.54745303049741</c:v>
                </c:pt>
                <c:pt idx="41">
                  <c:v>-156.36875684405874</c:v>
                </c:pt>
                <c:pt idx="42">
                  <c:v>-185.00000000000003</c:v>
                </c:pt>
                <c:pt idx="43">
                  <c:v>-212.22328144988708</c:v>
                </c:pt>
                <c:pt idx="44">
                  <c:v>-237.83141558401951</c:v>
                </c:pt>
                <c:pt idx="45">
                  <c:v>-261.62950903902254</c:v>
                </c:pt>
                <c:pt idx="46">
                  <c:v>-283.4364439540218</c:v>
                </c:pt>
                <c:pt idx="47">
                  <c:v>-303.08625638692689</c:v>
                </c:pt>
                <c:pt idx="48">
                  <c:v>-320.42939940024218</c:v>
                </c:pt>
                <c:pt idx="49">
                  <c:v>-335.33388120356051</c:v>
                </c:pt>
                <c:pt idx="50">
                  <c:v>-347.68626969078611</c:v>
                </c:pt>
                <c:pt idx="51">
                  <c:v>-357.39255572695527</c:v>
                </c:pt>
                <c:pt idx="52">
                  <c:v>-364.37886861451699</c:v>
                </c:pt>
                <c:pt idx="53">
                  <c:v>-368.59203829394585</c:v>
                </c:pt>
                <c:pt idx="54">
                  <c:v>-370</c:v>
                </c:pt>
                <c:pt idx="55">
                  <c:v>-368.59203829394585</c:v>
                </c:pt>
                <c:pt idx="56">
                  <c:v>-364.37886861451699</c:v>
                </c:pt>
                <c:pt idx="57">
                  <c:v>-357.39255572695532</c:v>
                </c:pt>
                <c:pt idx="58">
                  <c:v>-347.68626969078611</c:v>
                </c:pt>
                <c:pt idx="59">
                  <c:v>-335.33388120356045</c:v>
                </c:pt>
                <c:pt idx="60">
                  <c:v>-320.42939940024229</c:v>
                </c:pt>
                <c:pt idx="61">
                  <c:v>-303.08625638692695</c:v>
                </c:pt>
                <c:pt idx="62">
                  <c:v>-283.43644395402191</c:v>
                </c:pt>
                <c:pt idx="63">
                  <c:v>-261.62950903902265</c:v>
                </c:pt>
                <c:pt idx="64">
                  <c:v>-237.83141558401965</c:v>
                </c:pt>
                <c:pt idx="65">
                  <c:v>-212.2232814498872</c:v>
                </c:pt>
                <c:pt idx="66">
                  <c:v>-185.00000000000017</c:v>
                </c:pt>
                <c:pt idx="67">
                  <c:v>-156.36875684405871</c:v>
                </c:pt>
                <c:pt idx="68">
                  <c:v>-126.54745303049738</c:v>
                </c:pt>
                <c:pt idx="69">
                  <c:v>-95.763046687932658</c:v>
                </c:pt>
                <c:pt idx="70">
                  <c:v>-64.249825736764237</c:v>
                </c:pt>
                <c:pt idx="71">
                  <c:v>-32.247624816633575</c:v>
                </c:pt>
                <c:pt idx="72">
                  <c:v>-9.0660985663237881E-14</c:v>
                </c:pt>
              </c:numCache>
            </c:numRef>
          </c:yVal>
          <c:smooth val="0"/>
          <c:extLst>
            <c:ext xmlns:c16="http://schemas.microsoft.com/office/drawing/2014/chart" uri="{C3380CC4-5D6E-409C-BE32-E72D297353CC}">
              <c16:uniqueId val="{00000006-1673-41D7-A5FC-7E26F328539E}"/>
            </c:ext>
          </c:extLst>
        </c:ser>
        <c:ser>
          <c:idx val="6"/>
          <c:order val="11"/>
          <c:tx>
            <c:v>1m_f</c:v>
          </c:tx>
          <c:spPr>
            <a:ln>
              <a:solidFill>
                <a:srgbClr val="FF8080">
                  <a:alpha val="50000"/>
                </a:srgbClr>
              </a:solidFill>
            </a:ln>
          </c:spPr>
          <c:marker>
            <c:symbol val="none"/>
          </c:marker>
          <c:xVal>
            <c:numRef>
              <c:f>'Background calcs'!$J$304:$J$376</c:f>
              <c:numCache>
                <c:formatCode>General</c:formatCode>
                <c:ptCount val="73"/>
                <c:pt idx="0">
                  <c:v>1640.7873115853697</c:v>
                </c:pt>
                <c:pt idx="1">
                  <c:v>1639.3527127659577</c:v>
                </c:pt>
                <c:pt idx="2">
                  <c:v>1635.0598344709722</c:v>
                </c:pt>
                <c:pt idx="3">
                  <c:v>1627.9413480963485</c:v>
                </c:pt>
                <c:pt idx="4">
                  <c:v>1618.0514296216572</c:v>
                </c:pt>
                <c:pt idx="5">
                  <c:v>1605.4653472981868</c:v>
                </c:pt>
                <c:pt idx="6">
                  <c:v>1590.2788888121031</c:v>
                </c:pt>
                <c:pt idx="7">
                  <c:v>1572.6076322823196</c:v>
                </c:pt>
                <c:pt idx="8">
                  <c:v>1552.5860666412245</c:v>
                </c:pt>
                <c:pt idx="9">
                  <c:v>1530.3665680926981</c:v>
                </c:pt>
                <c:pt idx="10">
                  <c:v>1506.118240437195</c:v>
                </c:pt>
                <c:pt idx="11">
                  <c:v>1480.025628089714</c:v>
                </c:pt>
                <c:pt idx="12">
                  <c:v>1452.2873115853697</c:v>
                </c:pt>
                <c:pt idx="13">
                  <c:v>1423.1143962616134</c:v>
                </c:pt>
                <c:pt idx="14">
                  <c:v>1392.7289056191469</c:v>
                </c:pt>
                <c:pt idx="15">
                  <c:v>1361.3620915890201</c:v>
                </c:pt>
                <c:pt idx="16">
                  <c:v>1329.2526745658024</c:v>
                </c:pt>
                <c:pt idx="17">
                  <c:v>1296.6450266012369</c:v>
                </c:pt>
                <c:pt idx="18">
                  <c:v>1263.7873115853697</c:v>
                </c:pt>
                <c:pt idx="19">
                  <c:v>1230.9295965695026</c:v>
                </c:pt>
                <c:pt idx="20">
                  <c:v>1198.321948604937</c:v>
                </c:pt>
                <c:pt idx="21">
                  <c:v>1166.2125315817193</c:v>
                </c:pt>
                <c:pt idx="22">
                  <c:v>1134.8457175515925</c:v>
                </c:pt>
                <c:pt idx="23">
                  <c:v>1104.460226909126</c:v>
                </c:pt>
                <c:pt idx="24">
                  <c:v>1075.2873115853697</c:v>
                </c:pt>
                <c:pt idx="25">
                  <c:v>1047.5489950810254</c:v>
                </c:pt>
                <c:pt idx="26">
                  <c:v>1021.4563827335444</c:v>
                </c:pt>
                <c:pt idx="27">
                  <c:v>997.2080550780413</c:v>
                </c:pt>
                <c:pt idx="28">
                  <c:v>974.98855652951511</c:v>
                </c:pt>
                <c:pt idx="29">
                  <c:v>954.96699088841979</c:v>
                </c:pt>
                <c:pt idx="30">
                  <c:v>937.29573435863631</c:v>
                </c:pt>
                <c:pt idx="31">
                  <c:v>922.10927587255264</c:v>
                </c:pt>
                <c:pt idx="32">
                  <c:v>909.52319354908229</c:v>
                </c:pt>
                <c:pt idx="33">
                  <c:v>899.63327507439101</c:v>
                </c:pt>
                <c:pt idx="34">
                  <c:v>892.51478869976722</c:v>
                </c:pt>
                <c:pt idx="35">
                  <c:v>888.22191040478162</c:v>
                </c:pt>
                <c:pt idx="36">
                  <c:v>886.78731158536971</c:v>
                </c:pt>
                <c:pt idx="37">
                  <c:v>888.22191040478162</c:v>
                </c:pt>
                <c:pt idx="38">
                  <c:v>892.51478869976722</c:v>
                </c:pt>
                <c:pt idx="39">
                  <c:v>899.63327507439089</c:v>
                </c:pt>
                <c:pt idx="40">
                  <c:v>909.52319354908218</c:v>
                </c:pt>
                <c:pt idx="41">
                  <c:v>922.10927587255264</c:v>
                </c:pt>
                <c:pt idx="42">
                  <c:v>937.29573435863631</c:v>
                </c:pt>
                <c:pt idx="43">
                  <c:v>954.96699088841979</c:v>
                </c:pt>
                <c:pt idx="44">
                  <c:v>974.98855652951499</c:v>
                </c:pt>
                <c:pt idx="45">
                  <c:v>997.2080550780413</c:v>
                </c:pt>
                <c:pt idx="46">
                  <c:v>1021.4563827335444</c:v>
                </c:pt>
                <c:pt idx="47">
                  <c:v>1047.5489950810252</c:v>
                </c:pt>
                <c:pt idx="48">
                  <c:v>1075.2873115853695</c:v>
                </c:pt>
                <c:pt idx="49">
                  <c:v>1104.460226909126</c:v>
                </c:pt>
                <c:pt idx="50">
                  <c:v>1134.8457175515928</c:v>
                </c:pt>
                <c:pt idx="51">
                  <c:v>1166.2125315817195</c:v>
                </c:pt>
                <c:pt idx="52">
                  <c:v>1198.321948604937</c:v>
                </c:pt>
                <c:pt idx="53">
                  <c:v>1230.9295965695026</c:v>
                </c:pt>
                <c:pt idx="54">
                  <c:v>1263.7873115853697</c:v>
                </c:pt>
                <c:pt idx="55">
                  <c:v>1296.6450266012366</c:v>
                </c:pt>
                <c:pt idx="56">
                  <c:v>1329.2526745658024</c:v>
                </c:pt>
                <c:pt idx="57">
                  <c:v>1361.3620915890199</c:v>
                </c:pt>
                <c:pt idx="58">
                  <c:v>1392.7289056191469</c:v>
                </c:pt>
                <c:pt idx="59">
                  <c:v>1423.1143962616134</c:v>
                </c:pt>
                <c:pt idx="60">
                  <c:v>1452.2873115853697</c:v>
                </c:pt>
                <c:pt idx="61">
                  <c:v>1480.025628089714</c:v>
                </c:pt>
                <c:pt idx="62">
                  <c:v>1506.118240437195</c:v>
                </c:pt>
                <c:pt idx="63">
                  <c:v>1530.3665680926981</c:v>
                </c:pt>
                <c:pt idx="64">
                  <c:v>1552.5860666412243</c:v>
                </c:pt>
                <c:pt idx="65">
                  <c:v>1572.6076322823196</c:v>
                </c:pt>
                <c:pt idx="66">
                  <c:v>1590.2788888121031</c:v>
                </c:pt>
                <c:pt idx="67">
                  <c:v>1605.4653472981868</c:v>
                </c:pt>
                <c:pt idx="68">
                  <c:v>1618.0514296216572</c:v>
                </c:pt>
                <c:pt idx="69">
                  <c:v>1627.9413480963485</c:v>
                </c:pt>
                <c:pt idx="70">
                  <c:v>1635.0598344709722</c:v>
                </c:pt>
                <c:pt idx="71">
                  <c:v>1639.3527127659577</c:v>
                </c:pt>
                <c:pt idx="72">
                  <c:v>1640.7873115853697</c:v>
                </c:pt>
              </c:numCache>
            </c:numRef>
          </c:xVal>
          <c:yVal>
            <c:numRef>
              <c:f>'Background calcs'!$J$378:$J$450</c:f>
              <c:numCache>
                <c:formatCode>General</c:formatCode>
                <c:ptCount val="73"/>
                <c:pt idx="0">
                  <c:v>6.9999999999999982</c:v>
                </c:pt>
                <c:pt idx="1">
                  <c:v>39.857715015867129</c:v>
                </c:pt>
                <c:pt idx="2">
                  <c:v>72.46536298043273</c:v>
                </c:pt>
                <c:pt idx="3">
                  <c:v>104.57478000365032</c:v>
                </c:pt>
                <c:pt idx="4">
                  <c:v>135.94159403377711</c:v>
                </c:pt>
                <c:pt idx="5">
                  <c:v>166.32708467624369</c:v>
                </c:pt>
                <c:pt idx="6">
                  <c:v>195.49999999999997</c:v>
                </c:pt>
                <c:pt idx="7">
                  <c:v>223.23831650434437</c:v>
                </c:pt>
                <c:pt idx="8">
                  <c:v>249.33092885182529</c:v>
                </c:pt>
                <c:pt idx="9">
                  <c:v>273.57925650732841</c:v>
                </c:pt>
                <c:pt idx="10">
                  <c:v>295.79875505585471</c:v>
                </c:pt>
                <c:pt idx="11">
                  <c:v>315.82032069694992</c:v>
                </c:pt>
                <c:pt idx="12">
                  <c:v>333.49157722673334</c:v>
                </c:pt>
                <c:pt idx="13">
                  <c:v>348.67803571281701</c:v>
                </c:pt>
                <c:pt idx="14">
                  <c:v>361.26411803628741</c:v>
                </c:pt>
                <c:pt idx="15">
                  <c:v>371.15403651097876</c:v>
                </c:pt>
                <c:pt idx="16">
                  <c:v>378.27252288560243</c:v>
                </c:pt>
                <c:pt idx="17">
                  <c:v>382.56540118058808</c:v>
                </c:pt>
                <c:pt idx="18">
                  <c:v>384</c:v>
                </c:pt>
                <c:pt idx="19">
                  <c:v>382.56540118058808</c:v>
                </c:pt>
                <c:pt idx="20">
                  <c:v>378.27252288560243</c:v>
                </c:pt>
                <c:pt idx="21">
                  <c:v>371.15403651097876</c:v>
                </c:pt>
                <c:pt idx="22">
                  <c:v>361.26411803628747</c:v>
                </c:pt>
                <c:pt idx="23">
                  <c:v>348.67803571281706</c:v>
                </c:pt>
                <c:pt idx="24">
                  <c:v>333.4915772267334</c:v>
                </c:pt>
                <c:pt idx="25">
                  <c:v>315.82032069694986</c:v>
                </c:pt>
                <c:pt idx="26">
                  <c:v>295.79875505585471</c:v>
                </c:pt>
                <c:pt idx="27">
                  <c:v>273.57925650732841</c:v>
                </c:pt>
                <c:pt idx="28">
                  <c:v>249.33092885182538</c:v>
                </c:pt>
                <c:pt idx="29">
                  <c:v>223.23831650434431</c:v>
                </c:pt>
                <c:pt idx="30">
                  <c:v>195.49999999999997</c:v>
                </c:pt>
                <c:pt idx="31">
                  <c:v>166.32708467624371</c:v>
                </c:pt>
                <c:pt idx="32">
                  <c:v>135.94159403377716</c:v>
                </c:pt>
                <c:pt idx="33">
                  <c:v>104.57478000365042</c:v>
                </c:pt>
                <c:pt idx="34">
                  <c:v>72.465362980432715</c:v>
                </c:pt>
                <c:pt idx="35">
                  <c:v>39.857715015867136</c:v>
                </c:pt>
                <c:pt idx="36">
                  <c:v>7.0000000000000444</c:v>
                </c:pt>
                <c:pt idx="37">
                  <c:v>-25.857715015867043</c:v>
                </c:pt>
                <c:pt idx="38">
                  <c:v>-58.465362980432786</c:v>
                </c:pt>
                <c:pt idx="39">
                  <c:v>-90.574780003650346</c:v>
                </c:pt>
                <c:pt idx="40">
                  <c:v>-121.94159403377708</c:v>
                </c:pt>
                <c:pt idx="41">
                  <c:v>-152.32708467624363</c:v>
                </c:pt>
                <c:pt idx="42">
                  <c:v>-181.50000000000003</c:v>
                </c:pt>
                <c:pt idx="43">
                  <c:v>-209.2383165043444</c:v>
                </c:pt>
                <c:pt idx="44">
                  <c:v>-235.33092885182529</c:v>
                </c:pt>
                <c:pt idx="45">
                  <c:v>-259.57925650732841</c:v>
                </c:pt>
                <c:pt idx="46">
                  <c:v>-281.79875505585466</c:v>
                </c:pt>
                <c:pt idx="47">
                  <c:v>-301.82032069694981</c:v>
                </c:pt>
                <c:pt idx="48">
                  <c:v>-319.49157722673328</c:v>
                </c:pt>
                <c:pt idx="49">
                  <c:v>-334.67803571281706</c:v>
                </c:pt>
                <c:pt idx="50">
                  <c:v>-347.26411803628747</c:v>
                </c:pt>
                <c:pt idx="51">
                  <c:v>-357.15403651097876</c:v>
                </c:pt>
                <c:pt idx="52">
                  <c:v>-364.27252288560243</c:v>
                </c:pt>
                <c:pt idx="53">
                  <c:v>-368.56540118058808</c:v>
                </c:pt>
                <c:pt idx="54">
                  <c:v>-370</c:v>
                </c:pt>
                <c:pt idx="55">
                  <c:v>-368.56540118058808</c:v>
                </c:pt>
                <c:pt idx="56">
                  <c:v>-364.27252288560248</c:v>
                </c:pt>
                <c:pt idx="57">
                  <c:v>-357.15403651097881</c:v>
                </c:pt>
                <c:pt idx="58">
                  <c:v>-347.26411803628741</c:v>
                </c:pt>
                <c:pt idx="59">
                  <c:v>-334.67803571281701</c:v>
                </c:pt>
                <c:pt idx="60">
                  <c:v>-319.49157722673334</c:v>
                </c:pt>
                <c:pt idx="61">
                  <c:v>-301.82032069694992</c:v>
                </c:pt>
                <c:pt idx="62">
                  <c:v>-281.79875505585477</c:v>
                </c:pt>
                <c:pt idx="63">
                  <c:v>-259.57925650732847</c:v>
                </c:pt>
                <c:pt idx="64">
                  <c:v>-235.33092885182543</c:v>
                </c:pt>
                <c:pt idx="65">
                  <c:v>-209.23831650434454</c:v>
                </c:pt>
                <c:pt idx="66">
                  <c:v>-181.50000000000017</c:v>
                </c:pt>
                <c:pt idx="67">
                  <c:v>-152.3270846762436</c:v>
                </c:pt>
                <c:pt idx="68">
                  <c:v>-121.94159403377705</c:v>
                </c:pt>
                <c:pt idx="69">
                  <c:v>-90.574780003650304</c:v>
                </c:pt>
                <c:pt idx="70">
                  <c:v>-58.465362980432758</c:v>
                </c:pt>
                <c:pt idx="71">
                  <c:v>-25.857715015867186</c:v>
                </c:pt>
                <c:pt idx="72">
                  <c:v>6.9999999999999059</c:v>
                </c:pt>
              </c:numCache>
            </c:numRef>
          </c:yVal>
          <c:smooth val="0"/>
          <c:extLst>
            <c:ext xmlns:c16="http://schemas.microsoft.com/office/drawing/2014/chart" uri="{C3380CC4-5D6E-409C-BE32-E72D297353CC}">
              <c16:uniqueId val="{00000007-1673-41D7-A5FC-7E26F328539E}"/>
            </c:ext>
          </c:extLst>
        </c:ser>
        <c:ser>
          <c:idx val="7"/>
          <c:order val="12"/>
          <c:tx>
            <c:v>2_F</c:v>
          </c:tx>
          <c:spPr>
            <a:ln>
              <a:solidFill>
                <a:srgbClr val="0070C0"/>
              </a:solidFill>
            </a:ln>
          </c:spPr>
          <c:marker>
            <c:symbol val="none"/>
          </c:marker>
          <c:xVal>
            <c:numRef>
              <c:f>('Background calcs'!$L$120,'Background calcs'!$L$88,'Background calcs'!$L$90,'Background calcs'!$L$69,'Background calcs'!$L$65,'Background calcs'!$L$88,'Background calcs'!$L$75,'Background calcs'!$L$73,'Background calcs'!$L$69,'Background calcs'!$L$73,'Background calcs'!$L$85)</c:f>
              <c:numCache>
                <c:formatCode>General</c:formatCode>
                <c:ptCount val="11"/>
                <c:pt idx="0">
                  <c:v>-99745.530641220525</c:v>
                </c:pt>
                <c:pt idx="1">
                  <c:v>-99641.117780265136</c:v>
                </c:pt>
                <c:pt idx="2">
                  <c:v>-99575.548589353275</c:v>
                </c:pt>
                <c:pt idx="3">
                  <c:v>-99575.548589353275</c:v>
                </c:pt>
                <c:pt idx="4">
                  <c:v>-100000</c:v>
                </c:pt>
                <c:pt idx="5">
                  <c:v>-99641.117780265136</c:v>
                </c:pt>
                <c:pt idx="6">
                  <c:v>-99105.548589353275</c:v>
                </c:pt>
                <c:pt idx="7">
                  <c:v>-99054.834397944389</c:v>
                </c:pt>
                <c:pt idx="8">
                  <c:v>-99575.548589353275</c:v>
                </c:pt>
                <c:pt idx="9">
                  <c:v>-99054.834397944389</c:v>
                </c:pt>
                <c:pt idx="10">
                  <c:v>-98786.88304439433</c:v>
                </c:pt>
              </c:numCache>
            </c:numRef>
          </c:xVal>
          <c:yVal>
            <c:numRef>
              <c:f>('Background calcs'!$L$121,'Background calcs'!$L$87,'Background calcs'!$L$91,'Background calcs'!$L$70,'Background calcs'!$L$66,'Background calcs'!$L$87,'Background calcs'!$L$76,'Background calcs'!$L$74,'Background calcs'!$L$70,'Background calcs'!$L$74,'Background calcs'!$L$81)</c:f>
              <c:numCache>
                <c:formatCode>General</c:formatCode>
                <c:ptCount val="11"/>
                <c:pt idx="0">
                  <c:v>-99360.499386578391</c:v>
                </c:pt>
                <c:pt idx="1">
                  <c:v>-99737</c:v>
                </c:pt>
                <c:pt idx="2">
                  <c:v>-99973.434864191877</c:v>
                </c:pt>
                <c:pt idx="3">
                  <c:v>-100055</c:v>
                </c:pt>
                <c:pt idx="4">
                  <c:v>-100000</c:v>
                </c:pt>
                <c:pt idx="5">
                  <c:v>-99737</c:v>
                </c:pt>
                <c:pt idx="6">
                  <c:v>-99416</c:v>
                </c:pt>
                <c:pt idx="7">
                  <c:v>-99524.756934444391</c:v>
                </c:pt>
                <c:pt idx="8">
                  <c:v>-100055</c:v>
                </c:pt>
                <c:pt idx="9">
                  <c:v>-99524.756934444391</c:v>
                </c:pt>
                <c:pt idx="10">
                  <c:v>-100000</c:v>
                </c:pt>
              </c:numCache>
            </c:numRef>
          </c:yVal>
          <c:smooth val="0"/>
          <c:extLst>
            <c:ext xmlns:c16="http://schemas.microsoft.com/office/drawing/2014/chart" uri="{C3380CC4-5D6E-409C-BE32-E72D297353CC}">
              <c16:uniqueId val="{00000009-1673-41D7-A5FC-7E26F328539E}"/>
            </c:ext>
          </c:extLst>
        </c:ser>
        <c:ser>
          <c:idx val="8"/>
          <c:order val="13"/>
          <c:tx>
            <c:v>2_S</c:v>
          </c:tx>
          <c:spPr>
            <a:ln>
              <a:solidFill>
                <a:srgbClr val="0070C0"/>
              </a:solidFill>
            </a:ln>
          </c:spPr>
          <c:marker>
            <c:symbol val="none"/>
          </c:marker>
          <c:dPt>
            <c:idx val="0"/>
            <c:bubble3D val="0"/>
            <c:spPr/>
            <c:extLst>
              <c:ext xmlns:c16="http://schemas.microsoft.com/office/drawing/2014/chart" uri="{C3380CC4-5D6E-409C-BE32-E72D297353CC}">
                <c16:uniqueId val="{00000005-5414-4B96-AC52-4D49445FA07D}"/>
              </c:ext>
            </c:extLst>
          </c:dPt>
          <c:xVal>
            <c:numRef>
              <c:f>('Background calcs'!$L$116,'Background calcs'!$L$118)</c:f>
              <c:numCache>
                <c:formatCode>General</c:formatCode>
                <c:ptCount val="2"/>
                <c:pt idx="0">
                  <c:v>-99637.530641220525</c:v>
                </c:pt>
                <c:pt idx="1">
                  <c:v>-99817.530641220525</c:v>
                </c:pt>
              </c:numCache>
            </c:numRef>
          </c:xVal>
          <c:yVal>
            <c:numRef>
              <c:f>('Background calcs'!$L$117,'Background calcs'!$L$119)</c:f>
              <c:numCache>
                <c:formatCode>General</c:formatCode>
                <c:ptCount val="2"/>
                <c:pt idx="0">
                  <c:v>-99360.499386578391</c:v>
                </c:pt>
                <c:pt idx="1">
                  <c:v>-99360.499386578391</c:v>
                </c:pt>
              </c:numCache>
            </c:numRef>
          </c:yVal>
          <c:smooth val="0"/>
          <c:extLst>
            <c:ext xmlns:c16="http://schemas.microsoft.com/office/drawing/2014/chart" uri="{C3380CC4-5D6E-409C-BE32-E72D297353CC}">
              <c16:uniqueId val="{0000000A-1673-41D7-A5FC-7E26F328539E}"/>
            </c:ext>
          </c:extLst>
        </c:ser>
        <c:ser>
          <c:idx val="9"/>
          <c:order val="14"/>
          <c:tx>
            <c:v>2_C</c:v>
          </c:tx>
          <c:spPr>
            <a:ln>
              <a:solidFill>
                <a:srgbClr val="0070C0"/>
              </a:solidFill>
            </a:ln>
          </c:spPr>
          <c:marker>
            <c:symbol val="none"/>
          </c:marker>
          <c:xVal>
            <c:numRef>
              <c:f>('Background calcs'!$L$77,'Background calcs'!$L$94,'Background calcs'!$L$97,'Background calcs'!$L$100,'Background calcs'!$L$106)</c:f>
              <c:numCache>
                <c:formatCode>General</c:formatCode>
                <c:ptCount val="5"/>
                <c:pt idx="0">
                  <c:v>-99105.548589353275</c:v>
                </c:pt>
                <c:pt idx="1">
                  <c:v>-99121.608083299419</c:v>
                </c:pt>
                <c:pt idx="2">
                  <c:v>-99085.355771817951</c:v>
                </c:pt>
                <c:pt idx="3">
                  <c:v>-99085.355771817951</c:v>
                </c:pt>
                <c:pt idx="4">
                  <c:v>-99112.270679434339</c:v>
                </c:pt>
              </c:numCache>
            </c:numRef>
          </c:xVal>
          <c:yVal>
            <c:numRef>
              <c:f>('Background calcs'!$L$78,'Background calcs'!$L$95,'Background calcs'!$L$98,'Background calcs'!$L$101,'Background calcs'!$L$107)</c:f>
              <c:numCache>
                <c:formatCode>General</c:formatCode>
                <c:ptCount val="5"/>
                <c:pt idx="0">
                  <c:v>-99416</c:v>
                </c:pt>
                <c:pt idx="1">
                  <c:v>-99381.560304092607</c:v>
                </c:pt>
                <c:pt idx="2">
                  <c:v>-99364.655573622978</c:v>
                </c:pt>
                <c:pt idx="3">
                  <c:v>-99339.655573622978</c:v>
                </c:pt>
                <c:pt idx="4">
                  <c:v>-99321.572149477681</c:v>
                </c:pt>
              </c:numCache>
            </c:numRef>
          </c:yVal>
          <c:smooth val="0"/>
          <c:extLst>
            <c:ext xmlns:c16="http://schemas.microsoft.com/office/drawing/2014/chart" uri="{C3380CC4-5D6E-409C-BE32-E72D297353CC}">
              <c16:uniqueId val="{0000000B-1673-41D7-A5FC-7E26F328539E}"/>
            </c:ext>
          </c:extLst>
        </c:ser>
        <c:ser>
          <c:idx val="13"/>
          <c:order val="15"/>
          <c:tx>
            <c:v>2_P</c:v>
          </c:tx>
          <c:spPr>
            <a:ln>
              <a:solidFill>
                <a:srgbClr val="0070C0"/>
              </a:solidFill>
            </a:ln>
          </c:spPr>
          <c:marker>
            <c:symbol val="none"/>
          </c:marker>
          <c:xVal>
            <c:numRef>
              <c:f>('Background calcs'!$L$71,'Background calcs'!$L$108,'Background calcs'!$L$110,'Background calcs'!$L$112)</c:f>
              <c:numCache>
                <c:formatCode>General</c:formatCode>
                <c:ptCount val="4"/>
                <c:pt idx="0">
                  <c:v>-99575.548589353275</c:v>
                </c:pt>
                <c:pt idx="1">
                  <c:v>-99575.548589353275</c:v>
                </c:pt>
                <c:pt idx="2">
                  <c:v>-99525.548589353275</c:v>
                </c:pt>
                <c:pt idx="3">
                  <c:v>-99625.548589353275</c:v>
                </c:pt>
              </c:numCache>
            </c:numRef>
          </c:xVal>
          <c:yVal>
            <c:numRef>
              <c:f>('Background calcs'!$L$72,'Background calcs'!$L$109,'Background calcs'!$L$111,'Background calcs'!$L$113)</c:f>
              <c:numCache>
                <c:formatCode>General</c:formatCode>
                <c:ptCount val="4"/>
                <c:pt idx="0">
                  <c:v>-100055</c:v>
                </c:pt>
                <c:pt idx="1">
                  <c:v>-100225</c:v>
                </c:pt>
                <c:pt idx="2">
                  <c:v>-100225</c:v>
                </c:pt>
                <c:pt idx="3">
                  <c:v>-100225</c:v>
                </c:pt>
              </c:numCache>
            </c:numRef>
          </c:yVal>
          <c:smooth val="0"/>
          <c:extLst>
            <c:ext xmlns:c16="http://schemas.microsoft.com/office/drawing/2014/chart" uri="{C3380CC4-5D6E-409C-BE32-E72D297353CC}">
              <c16:uniqueId val="{0000000C-1673-41D7-A5FC-7E26F328539E}"/>
            </c:ext>
          </c:extLst>
        </c:ser>
        <c:ser>
          <c:idx val="14"/>
          <c:order val="16"/>
          <c:tx>
            <c:v>2_r</c:v>
          </c:tx>
          <c:spPr>
            <a:ln>
              <a:solidFill>
                <a:srgbClr val="0070C0"/>
              </a:solidFill>
            </a:ln>
          </c:spPr>
          <c:marker>
            <c:symbol val="none"/>
          </c:marker>
          <c:xVal>
            <c:numRef>
              <c:f>'Background calcs'!$L$155:$L$227</c:f>
              <c:numCache>
                <c:formatCode>General</c:formatCode>
                <c:ptCount val="73"/>
                <c:pt idx="0">
                  <c:v>-99623</c:v>
                </c:pt>
                <c:pt idx="1">
                  <c:v>-99624.434598819411</c:v>
                </c:pt>
                <c:pt idx="2">
                  <c:v>-99628.7274771144</c:v>
                </c:pt>
                <c:pt idx="3">
                  <c:v>-99635.845963489017</c:v>
                </c:pt>
                <c:pt idx="4">
                  <c:v>-99645.735881963716</c:v>
                </c:pt>
                <c:pt idx="5">
                  <c:v>-99658.321964287185</c:v>
                </c:pt>
                <c:pt idx="6">
                  <c:v>-99673.508422773273</c:v>
                </c:pt>
                <c:pt idx="7">
                  <c:v>-99691.179679303052</c:v>
                </c:pt>
                <c:pt idx="8">
                  <c:v>-99711.201244944139</c:v>
                </c:pt>
                <c:pt idx="9">
                  <c:v>-99733.420743492665</c:v>
                </c:pt>
                <c:pt idx="10">
                  <c:v>-99757.669071148179</c:v>
                </c:pt>
                <c:pt idx="11">
                  <c:v>-99783.761683495657</c:v>
                </c:pt>
                <c:pt idx="12">
                  <c:v>-99811.5</c:v>
                </c:pt>
                <c:pt idx="13">
                  <c:v>-99840.672915323754</c:v>
                </c:pt>
                <c:pt idx="14">
                  <c:v>-99871.058405966221</c:v>
                </c:pt>
                <c:pt idx="15">
                  <c:v>-99902.425219996352</c:v>
                </c:pt>
                <c:pt idx="16">
                  <c:v>-99934.534637019562</c:v>
                </c:pt>
                <c:pt idx="17">
                  <c:v>-99967.142284984133</c:v>
                </c:pt>
                <c:pt idx="18">
                  <c:v>-100000</c:v>
                </c:pt>
                <c:pt idx="19">
                  <c:v>-100032.85771501587</c:v>
                </c:pt>
                <c:pt idx="20">
                  <c:v>-100065.46536298044</c:v>
                </c:pt>
                <c:pt idx="21">
                  <c:v>-100097.57478000365</c:v>
                </c:pt>
                <c:pt idx="22">
                  <c:v>-100128.94159403378</c:v>
                </c:pt>
                <c:pt idx="23">
                  <c:v>-100159.32708467625</c:v>
                </c:pt>
                <c:pt idx="24">
                  <c:v>-100188.5</c:v>
                </c:pt>
                <c:pt idx="25">
                  <c:v>-100216.23831650434</c:v>
                </c:pt>
                <c:pt idx="26">
                  <c:v>-100242.33092885182</c:v>
                </c:pt>
                <c:pt idx="27">
                  <c:v>-100266.57925650734</c:v>
                </c:pt>
                <c:pt idx="28">
                  <c:v>-100288.79875505586</c:v>
                </c:pt>
                <c:pt idx="29">
                  <c:v>-100308.82032069695</c:v>
                </c:pt>
                <c:pt idx="30">
                  <c:v>-100326.49157722673</c:v>
                </c:pt>
                <c:pt idx="31">
                  <c:v>-100341.67803571282</c:v>
                </c:pt>
                <c:pt idx="32">
                  <c:v>-100354.26411803628</c:v>
                </c:pt>
                <c:pt idx="33">
                  <c:v>-100364.15403651098</c:v>
                </c:pt>
                <c:pt idx="34">
                  <c:v>-100371.2725228856</c:v>
                </c:pt>
                <c:pt idx="35">
                  <c:v>-100375.56540118059</c:v>
                </c:pt>
                <c:pt idx="36">
                  <c:v>-100377</c:v>
                </c:pt>
                <c:pt idx="37">
                  <c:v>-100375.56540118059</c:v>
                </c:pt>
                <c:pt idx="38">
                  <c:v>-100371.2725228856</c:v>
                </c:pt>
                <c:pt idx="39">
                  <c:v>-100364.15403651098</c:v>
                </c:pt>
                <c:pt idx="40">
                  <c:v>-100354.26411803628</c:v>
                </c:pt>
                <c:pt idx="41">
                  <c:v>-100341.67803571282</c:v>
                </c:pt>
                <c:pt idx="42">
                  <c:v>-100326.49157722673</c:v>
                </c:pt>
                <c:pt idx="43">
                  <c:v>-100308.82032069695</c:v>
                </c:pt>
                <c:pt idx="44">
                  <c:v>-100288.79875505586</c:v>
                </c:pt>
                <c:pt idx="45">
                  <c:v>-100266.57925650734</c:v>
                </c:pt>
                <c:pt idx="46">
                  <c:v>-100242.33092885182</c:v>
                </c:pt>
                <c:pt idx="47">
                  <c:v>-100216.23831650434</c:v>
                </c:pt>
                <c:pt idx="48">
                  <c:v>-100188.5</c:v>
                </c:pt>
                <c:pt idx="49">
                  <c:v>-100159.32708467625</c:v>
                </c:pt>
                <c:pt idx="50">
                  <c:v>-100128.94159403378</c:v>
                </c:pt>
                <c:pt idx="51">
                  <c:v>-100097.57478000365</c:v>
                </c:pt>
                <c:pt idx="52">
                  <c:v>-100065.46536298044</c:v>
                </c:pt>
                <c:pt idx="53">
                  <c:v>-100032.85771501587</c:v>
                </c:pt>
                <c:pt idx="54">
                  <c:v>-100000</c:v>
                </c:pt>
                <c:pt idx="55">
                  <c:v>-99967.142284984133</c:v>
                </c:pt>
                <c:pt idx="56">
                  <c:v>-99934.534637019562</c:v>
                </c:pt>
                <c:pt idx="57">
                  <c:v>-99902.425219996352</c:v>
                </c:pt>
                <c:pt idx="58">
                  <c:v>-99871.058405966221</c:v>
                </c:pt>
                <c:pt idx="59">
                  <c:v>-99840.672915323754</c:v>
                </c:pt>
                <c:pt idx="60">
                  <c:v>-99811.5</c:v>
                </c:pt>
                <c:pt idx="61">
                  <c:v>-99783.761683495657</c:v>
                </c:pt>
                <c:pt idx="62">
                  <c:v>-99757.669071148179</c:v>
                </c:pt>
                <c:pt idx="63">
                  <c:v>-99733.420743492665</c:v>
                </c:pt>
                <c:pt idx="64">
                  <c:v>-99711.201244944139</c:v>
                </c:pt>
                <c:pt idx="65">
                  <c:v>-99691.179679303052</c:v>
                </c:pt>
                <c:pt idx="66">
                  <c:v>-99673.508422773273</c:v>
                </c:pt>
                <c:pt idx="67">
                  <c:v>-99658.321964287185</c:v>
                </c:pt>
                <c:pt idx="68">
                  <c:v>-99645.735881963716</c:v>
                </c:pt>
                <c:pt idx="69">
                  <c:v>-99635.845963489017</c:v>
                </c:pt>
                <c:pt idx="70">
                  <c:v>-99628.7274771144</c:v>
                </c:pt>
                <c:pt idx="71">
                  <c:v>-99624.434598819411</c:v>
                </c:pt>
                <c:pt idx="72">
                  <c:v>-99623</c:v>
                </c:pt>
              </c:numCache>
            </c:numRef>
          </c:xVal>
          <c:yVal>
            <c:numRef>
              <c:f>'Background calcs'!$L$229:$L$301</c:f>
              <c:numCache>
                <c:formatCode>General</c:formatCode>
                <c:ptCount val="73"/>
                <c:pt idx="0">
                  <c:v>-100000</c:v>
                </c:pt>
                <c:pt idx="1">
                  <c:v>-99967.142284984133</c:v>
                </c:pt>
                <c:pt idx="2">
                  <c:v>-99934.534637019562</c:v>
                </c:pt>
                <c:pt idx="3">
                  <c:v>-99902.425219996352</c:v>
                </c:pt>
                <c:pt idx="4">
                  <c:v>-99871.058405966221</c:v>
                </c:pt>
                <c:pt idx="5">
                  <c:v>-99840.672915323754</c:v>
                </c:pt>
                <c:pt idx="6">
                  <c:v>-99811.5</c:v>
                </c:pt>
                <c:pt idx="7">
                  <c:v>-99783.761683495657</c:v>
                </c:pt>
                <c:pt idx="8">
                  <c:v>-99757.669071148179</c:v>
                </c:pt>
                <c:pt idx="9">
                  <c:v>-99733.420743492665</c:v>
                </c:pt>
                <c:pt idx="10">
                  <c:v>-99711.201244944139</c:v>
                </c:pt>
                <c:pt idx="11">
                  <c:v>-99691.179679303052</c:v>
                </c:pt>
                <c:pt idx="12">
                  <c:v>-99673.508422773273</c:v>
                </c:pt>
                <c:pt idx="13">
                  <c:v>-99658.321964287185</c:v>
                </c:pt>
                <c:pt idx="14">
                  <c:v>-99645.735881963716</c:v>
                </c:pt>
                <c:pt idx="15">
                  <c:v>-99635.845963489017</c:v>
                </c:pt>
                <c:pt idx="16">
                  <c:v>-99628.7274771144</c:v>
                </c:pt>
                <c:pt idx="17">
                  <c:v>-99624.434598819411</c:v>
                </c:pt>
                <c:pt idx="18">
                  <c:v>-99623</c:v>
                </c:pt>
                <c:pt idx="19">
                  <c:v>-99624.434598819411</c:v>
                </c:pt>
                <c:pt idx="20">
                  <c:v>-99628.7274771144</c:v>
                </c:pt>
                <c:pt idx="21">
                  <c:v>-99635.845963489017</c:v>
                </c:pt>
                <c:pt idx="22">
                  <c:v>-99645.735881963716</c:v>
                </c:pt>
                <c:pt idx="23">
                  <c:v>-99658.321964287185</c:v>
                </c:pt>
                <c:pt idx="24">
                  <c:v>-99673.508422773273</c:v>
                </c:pt>
                <c:pt idx="25">
                  <c:v>-99691.179679303052</c:v>
                </c:pt>
                <c:pt idx="26">
                  <c:v>-99711.201244944139</c:v>
                </c:pt>
                <c:pt idx="27">
                  <c:v>-99733.420743492665</c:v>
                </c:pt>
                <c:pt idx="28">
                  <c:v>-99757.669071148179</c:v>
                </c:pt>
                <c:pt idx="29">
                  <c:v>-99783.761683495657</c:v>
                </c:pt>
                <c:pt idx="30">
                  <c:v>-99811.5</c:v>
                </c:pt>
                <c:pt idx="31">
                  <c:v>-99840.672915323754</c:v>
                </c:pt>
                <c:pt idx="32">
                  <c:v>-99871.058405966221</c:v>
                </c:pt>
                <c:pt idx="33">
                  <c:v>-99902.425219996352</c:v>
                </c:pt>
                <c:pt idx="34">
                  <c:v>-99934.534637019562</c:v>
                </c:pt>
                <c:pt idx="35">
                  <c:v>-99967.142284984133</c:v>
                </c:pt>
                <c:pt idx="36">
                  <c:v>-100000</c:v>
                </c:pt>
                <c:pt idx="37">
                  <c:v>-100032.85771501587</c:v>
                </c:pt>
                <c:pt idx="38">
                  <c:v>-100065.46536298044</c:v>
                </c:pt>
                <c:pt idx="39">
                  <c:v>-100097.57478000365</c:v>
                </c:pt>
                <c:pt idx="40">
                  <c:v>-100128.94159403378</c:v>
                </c:pt>
                <c:pt idx="41">
                  <c:v>-100159.32708467625</c:v>
                </c:pt>
                <c:pt idx="42">
                  <c:v>-100188.5</c:v>
                </c:pt>
                <c:pt idx="43">
                  <c:v>-100216.23831650434</c:v>
                </c:pt>
                <c:pt idx="44">
                  <c:v>-100242.33092885182</c:v>
                </c:pt>
                <c:pt idx="45">
                  <c:v>-100266.57925650734</c:v>
                </c:pt>
                <c:pt idx="46">
                  <c:v>-100288.79875505586</c:v>
                </c:pt>
                <c:pt idx="47">
                  <c:v>-100308.82032069695</c:v>
                </c:pt>
                <c:pt idx="48">
                  <c:v>-100326.49157722673</c:v>
                </c:pt>
                <c:pt idx="49">
                  <c:v>-100341.67803571282</c:v>
                </c:pt>
                <c:pt idx="50">
                  <c:v>-100354.26411803628</c:v>
                </c:pt>
                <c:pt idx="51">
                  <c:v>-100364.15403651098</c:v>
                </c:pt>
                <c:pt idx="52">
                  <c:v>-100371.2725228856</c:v>
                </c:pt>
                <c:pt idx="53">
                  <c:v>-100375.56540118059</c:v>
                </c:pt>
                <c:pt idx="54">
                  <c:v>-100377</c:v>
                </c:pt>
                <c:pt idx="55">
                  <c:v>-100375.56540118059</c:v>
                </c:pt>
                <c:pt idx="56">
                  <c:v>-100371.2725228856</c:v>
                </c:pt>
                <c:pt idx="57">
                  <c:v>-100364.15403651098</c:v>
                </c:pt>
                <c:pt idx="58">
                  <c:v>-100354.26411803628</c:v>
                </c:pt>
                <c:pt idx="59">
                  <c:v>-100341.67803571282</c:v>
                </c:pt>
                <c:pt idx="60">
                  <c:v>-100326.49157722673</c:v>
                </c:pt>
                <c:pt idx="61">
                  <c:v>-100308.82032069695</c:v>
                </c:pt>
                <c:pt idx="62">
                  <c:v>-100288.79875505586</c:v>
                </c:pt>
                <c:pt idx="63">
                  <c:v>-100266.57925650734</c:v>
                </c:pt>
                <c:pt idx="64">
                  <c:v>-100242.33092885182</c:v>
                </c:pt>
                <c:pt idx="65">
                  <c:v>-100216.23831650434</c:v>
                </c:pt>
                <c:pt idx="66">
                  <c:v>-100188.5</c:v>
                </c:pt>
                <c:pt idx="67">
                  <c:v>-100159.32708467625</c:v>
                </c:pt>
                <c:pt idx="68">
                  <c:v>-100128.94159403378</c:v>
                </c:pt>
                <c:pt idx="69">
                  <c:v>-100097.57478000365</c:v>
                </c:pt>
                <c:pt idx="70">
                  <c:v>-100065.46536298044</c:v>
                </c:pt>
                <c:pt idx="71">
                  <c:v>-100032.85771501587</c:v>
                </c:pt>
                <c:pt idx="72">
                  <c:v>-100000</c:v>
                </c:pt>
              </c:numCache>
            </c:numRef>
          </c:yVal>
          <c:smooth val="0"/>
          <c:extLst>
            <c:ext xmlns:c16="http://schemas.microsoft.com/office/drawing/2014/chart" uri="{C3380CC4-5D6E-409C-BE32-E72D297353CC}">
              <c16:uniqueId val="{0000000D-1673-41D7-A5FC-7E26F328539E}"/>
            </c:ext>
          </c:extLst>
        </c:ser>
        <c:ser>
          <c:idx val="15"/>
          <c:order val="17"/>
          <c:tx>
            <c:v>2_f</c:v>
          </c:tx>
          <c:spPr>
            <a:ln>
              <a:solidFill>
                <a:srgbClr val="0070C0"/>
              </a:solidFill>
            </a:ln>
          </c:spPr>
          <c:marker>
            <c:symbol val="none"/>
          </c:marker>
          <c:xVal>
            <c:numRef>
              <c:f>'Background calcs'!$L$304:$L$376</c:f>
              <c:numCache>
                <c:formatCode>General</c:formatCode>
                <c:ptCount val="73"/>
                <c:pt idx="0">
                  <c:v>-98409.88304439433</c:v>
                </c:pt>
                <c:pt idx="1">
                  <c:v>-98411.317643213741</c:v>
                </c:pt>
                <c:pt idx="2">
                  <c:v>-98415.61052150873</c:v>
                </c:pt>
                <c:pt idx="3">
                  <c:v>-98422.729007883347</c:v>
                </c:pt>
                <c:pt idx="4">
                  <c:v>-98432.618926358045</c:v>
                </c:pt>
                <c:pt idx="5">
                  <c:v>-98445.205008681514</c:v>
                </c:pt>
                <c:pt idx="6">
                  <c:v>-98460.391467167603</c:v>
                </c:pt>
                <c:pt idx="7">
                  <c:v>-98478.062723697381</c:v>
                </c:pt>
                <c:pt idx="8">
                  <c:v>-98498.084289338469</c:v>
                </c:pt>
                <c:pt idx="9">
                  <c:v>-98520.303787886995</c:v>
                </c:pt>
                <c:pt idx="10">
                  <c:v>-98544.552115542509</c:v>
                </c:pt>
                <c:pt idx="11">
                  <c:v>-98570.644727889987</c:v>
                </c:pt>
                <c:pt idx="12">
                  <c:v>-98598.38304439433</c:v>
                </c:pt>
                <c:pt idx="13">
                  <c:v>-98627.555959718084</c:v>
                </c:pt>
                <c:pt idx="14">
                  <c:v>-98657.941450360551</c:v>
                </c:pt>
                <c:pt idx="15">
                  <c:v>-98689.308264390682</c:v>
                </c:pt>
                <c:pt idx="16">
                  <c:v>-98721.417681413892</c:v>
                </c:pt>
                <c:pt idx="17">
                  <c:v>-98754.025329378463</c:v>
                </c:pt>
                <c:pt idx="18">
                  <c:v>-98786.88304439433</c:v>
                </c:pt>
                <c:pt idx="19">
                  <c:v>-98819.740759410197</c:v>
                </c:pt>
                <c:pt idx="20">
                  <c:v>-98852.348407374768</c:v>
                </c:pt>
                <c:pt idx="21">
                  <c:v>-98884.457824397978</c:v>
                </c:pt>
                <c:pt idx="22">
                  <c:v>-98915.824638428108</c:v>
                </c:pt>
                <c:pt idx="23">
                  <c:v>-98946.210129070576</c:v>
                </c:pt>
                <c:pt idx="24">
                  <c:v>-98975.38304439433</c:v>
                </c:pt>
                <c:pt idx="25">
                  <c:v>-99003.121360898673</c:v>
                </c:pt>
                <c:pt idx="26">
                  <c:v>-99029.213973246151</c:v>
                </c:pt>
                <c:pt idx="27">
                  <c:v>-99053.462300901665</c:v>
                </c:pt>
                <c:pt idx="28">
                  <c:v>-99075.681799450191</c:v>
                </c:pt>
                <c:pt idx="29">
                  <c:v>-99095.703365091278</c:v>
                </c:pt>
                <c:pt idx="30">
                  <c:v>-99113.374621621057</c:v>
                </c:pt>
                <c:pt idx="31">
                  <c:v>-99128.561080107145</c:v>
                </c:pt>
                <c:pt idx="32">
                  <c:v>-99141.147162430614</c:v>
                </c:pt>
                <c:pt idx="33">
                  <c:v>-99151.037080905313</c:v>
                </c:pt>
                <c:pt idx="34">
                  <c:v>-99158.15556727993</c:v>
                </c:pt>
                <c:pt idx="35">
                  <c:v>-99162.448445574919</c:v>
                </c:pt>
                <c:pt idx="36">
                  <c:v>-99163.88304439433</c:v>
                </c:pt>
                <c:pt idx="37">
                  <c:v>-99162.448445574919</c:v>
                </c:pt>
                <c:pt idx="38">
                  <c:v>-99158.15556727993</c:v>
                </c:pt>
                <c:pt idx="39">
                  <c:v>-99151.037080905313</c:v>
                </c:pt>
                <c:pt idx="40">
                  <c:v>-99141.147162430614</c:v>
                </c:pt>
                <c:pt idx="41">
                  <c:v>-99128.561080107145</c:v>
                </c:pt>
                <c:pt idx="42">
                  <c:v>-99113.374621621057</c:v>
                </c:pt>
                <c:pt idx="43">
                  <c:v>-99095.703365091278</c:v>
                </c:pt>
                <c:pt idx="44">
                  <c:v>-99075.681799450191</c:v>
                </c:pt>
                <c:pt idx="45">
                  <c:v>-99053.462300901665</c:v>
                </c:pt>
                <c:pt idx="46">
                  <c:v>-99029.213973246151</c:v>
                </c:pt>
                <c:pt idx="47">
                  <c:v>-99003.121360898673</c:v>
                </c:pt>
                <c:pt idx="48">
                  <c:v>-98975.38304439433</c:v>
                </c:pt>
                <c:pt idx="49">
                  <c:v>-98946.210129070576</c:v>
                </c:pt>
                <c:pt idx="50">
                  <c:v>-98915.824638428108</c:v>
                </c:pt>
                <c:pt idx="51">
                  <c:v>-98884.457824397978</c:v>
                </c:pt>
                <c:pt idx="52">
                  <c:v>-98852.348407374768</c:v>
                </c:pt>
                <c:pt idx="53">
                  <c:v>-98819.740759410197</c:v>
                </c:pt>
                <c:pt idx="54">
                  <c:v>-98786.88304439433</c:v>
                </c:pt>
                <c:pt idx="55">
                  <c:v>-98754.025329378463</c:v>
                </c:pt>
                <c:pt idx="56">
                  <c:v>-98721.417681413892</c:v>
                </c:pt>
                <c:pt idx="57">
                  <c:v>-98689.308264390682</c:v>
                </c:pt>
                <c:pt idx="58">
                  <c:v>-98657.941450360551</c:v>
                </c:pt>
                <c:pt idx="59">
                  <c:v>-98627.555959718084</c:v>
                </c:pt>
                <c:pt idx="60">
                  <c:v>-98598.38304439433</c:v>
                </c:pt>
                <c:pt idx="61">
                  <c:v>-98570.644727889987</c:v>
                </c:pt>
                <c:pt idx="62">
                  <c:v>-98544.552115542509</c:v>
                </c:pt>
                <c:pt idx="63">
                  <c:v>-98520.303787886995</c:v>
                </c:pt>
                <c:pt idx="64">
                  <c:v>-98498.084289338469</c:v>
                </c:pt>
                <c:pt idx="65">
                  <c:v>-98478.062723697381</c:v>
                </c:pt>
                <c:pt idx="66">
                  <c:v>-98460.391467167603</c:v>
                </c:pt>
                <c:pt idx="67">
                  <c:v>-98445.205008681514</c:v>
                </c:pt>
                <c:pt idx="68">
                  <c:v>-98432.618926358045</c:v>
                </c:pt>
                <c:pt idx="69">
                  <c:v>-98422.729007883347</c:v>
                </c:pt>
                <c:pt idx="70">
                  <c:v>-98415.61052150873</c:v>
                </c:pt>
                <c:pt idx="71">
                  <c:v>-98411.317643213741</c:v>
                </c:pt>
                <c:pt idx="72">
                  <c:v>-98409.88304439433</c:v>
                </c:pt>
              </c:numCache>
            </c:numRef>
          </c:xVal>
          <c:yVal>
            <c:numRef>
              <c:f>'Background calcs'!$L$378:$L$450</c:f>
              <c:numCache>
                <c:formatCode>General</c:formatCode>
                <c:ptCount val="73"/>
                <c:pt idx="0">
                  <c:v>-100000</c:v>
                </c:pt>
                <c:pt idx="1">
                  <c:v>-99967.142284984133</c:v>
                </c:pt>
                <c:pt idx="2">
                  <c:v>-99934.534637019562</c:v>
                </c:pt>
                <c:pt idx="3">
                  <c:v>-99902.425219996352</c:v>
                </c:pt>
                <c:pt idx="4">
                  <c:v>-99871.058405966221</c:v>
                </c:pt>
                <c:pt idx="5">
                  <c:v>-99840.672915323754</c:v>
                </c:pt>
                <c:pt idx="6">
                  <c:v>-99811.5</c:v>
                </c:pt>
                <c:pt idx="7">
                  <c:v>-99783.761683495657</c:v>
                </c:pt>
                <c:pt idx="8">
                  <c:v>-99757.669071148179</c:v>
                </c:pt>
                <c:pt idx="9">
                  <c:v>-99733.420743492665</c:v>
                </c:pt>
                <c:pt idx="10">
                  <c:v>-99711.201244944139</c:v>
                </c:pt>
                <c:pt idx="11">
                  <c:v>-99691.179679303052</c:v>
                </c:pt>
                <c:pt idx="12">
                  <c:v>-99673.508422773273</c:v>
                </c:pt>
                <c:pt idx="13">
                  <c:v>-99658.321964287185</c:v>
                </c:pt>
                <c:pt idx="14">
                  <c:v>-99645.735881963716</c:v>
                </c:pt>
                <c:pt idx="15">
                  <c:v>-99635.845963489017</c:v>
                </c:pt>
                <c:pt idx="16">
                  <c:v>-99628.7274771144</c:v>
                </c:pt>
                <c:pt idx="17">
                  <c:v>-99624.434598819411</c:v>
                </c:pt>
                <c:pt idx="18">
                  <c:v>-99623</c:v>
                </c:pt>
                <c:pt idx="19">
                  <c:v>-99624.434598819411</c:v>
                </c:pt>
                <c:pt idx="20">
                  <c:v>-99628.7274771144</c:v>
                </c:pt>
                <c:pt idx="21">
                  <c:v>-99635.845963489017</c:v>
                </c:pt>
                <c:pt idx="22">
                  <c:v>-99645.735881963716</c:v>
                </c:pt>
                <c:pt idx="23">
                  <c:v>-99658.321964287185</c:v>
                </c:pt>
                <c:pt idx="24">
                  <c:v>-99673.508422773273</c:v>
                </c:pt>
                <c:pt idx="25">
                  <c:v>-99691.179679303052</c:v>
                </c:pt>
                <c:pt idx="26">
                  <c:v>-99711.201244944139</c:v>
                </c:pt>
                <c:pt idx="27">
                  <c:v>-99733.420743492665</c:v>
                </c:pt>
                <c:pt idx="28">
                  <c:v>-99757.669071148179</c:v>
                </c:pt>
                <c:pt idx="29">
                  <c:v>-99783.761683495657</c:v>
                </c:pt>
                <c:pt idx="30">
                  <c:v>-99811.5</c:v>
                </c:pt>
                <c:pt idx="31">
                  <c:v>-99840.672915323754</c:v>
                </c:pt>
                <c:pt idx="32">
                  <c:v>-99871.058405966221</c:v>
                </c:pt>
                <c:pt idx="33">
                  <c:v>-99902.425219996352</c:v>
                </c:pt>
                <c:pt idx="34">
                  <c:v>-99934.534637019562</c:v>
                </c:pt>
                <c:pt idx="35">
                  <c:v>-99967.142284984133</c:v>
                </c:pt>
                <c:pt idx="36">
                  <c:v>-100000</c:v>
                </c:pt>
                <c:pt idx="37">
                  <c:v>-100032.85771501587</c:v>
                </c:pt>
                <c:pt idx="38">
                  <c:v>-100065.46536298044</c:v>
                </c:pt>
                <c:pt idx="39">
                  <c:v>-100097.57478000365</c:v>
                </c:pt>
                <c:pt idx="40">
                  <c:v>-100128.94159403378</c:v>
                </c:pt>
                <c:pt idx="41">
                  <c:v>-100159.32708467625</c:v>
                </c:pt>
                <c:pt idx="42">
                  <c:v>-100188.5</c:v>
                </c:pt>
                <c:pt idx="43">
                  <c:v>-100216.23831650434</c:v>
                </c:pt>
                <c:pt idx="44">
                  <c:v>-100242.33092885182</c:v>
                </c:pt>
                <c:pt idx="45">
                  <c:v>-100266.57925650734</c:v>
                </c:pt>
                <c:pt idx="46">
                  <c:v>-100288.79875505586</c:v>
                </c:pt>
                <c:pt idx="47">
                  <c:v>-100308.82032069695</c:v>
                </c:pt>
                <c:pt idx="48">
                  <c:v>-100326.49157722673</c:v>
                </c:pt>
                <c:pt idx="49">
                  <c:v>-100341.67803571282</c:v>
                </c:pt>
                <c:pt idx="50">
                  <c:v>-100354.26411803628</c:v>
                </c:pt>
                <c:pt idx="51">
                  <c:v>-100364.15403651098</c:v>
                </c:pt>
                <c:pt idx="52">
                  <c:v>-100371.2725228856</c:v>
                </c:pt>
                <c:pt idx="53">
                  <c:v>-100375.56540118059</c:v>
                </c:pt>
                <c:pt idx="54">
                  <c:v>-100377</c:v>
                </c:pt>
                <c:pt idx="55">
                  <c:v>-100375.56540118059</c:v>
                </c:pt>
                <c:pt idx="56">
                  <c:v>-100371.2725228856</c:v>
                </c:pt>
                <c:pt idx="57">
                  <c:v>-100364.15403651098</c:v>
                </c:pt>
                <c:pt idx="58">
                  <c:v>-100354.26411803628</c:v>
                </c:pt>
                <c:pt idx="59">
                  <c:v>-100341.67803571282</c:v>
                </c:pt>
                <c:pt idx="60">
                  <c:v>-100326.49157722673</c:v>
                </c:pt>
                <c:pt idx="61">
                  <c:v>-100308.82032069695</c:v>
                </c:pt>
                <c:pt idx="62">
                  <c:v>-100288.79875505586</c:v>
                </c:pt>
                <c:pt idx="63">
                  <c:v>-100266.57925650734</c:v>
                </c:pt>
                <c:pt idx="64">
                  <c:v>-100242.33092885182</c:v>
                </c:pt>
                <c:pt idx="65">
                  <c:v>-100216.23831650434</c:v>
                </c:pt>
                <c:pt idx="66">
                  <c:v>-100188.5</c:v>
                </c:pt>
                <c:pt idx="67">
                  <c:v>-100159.32708467625</c:v>
                </c:pt>
                <c:pt idx="68">
                  <c:v>-100128.94159403378</c:v>
                </c:pt>
                <c:pt idx="69">
                  <c:v>-100097.57478000365</c:v>
                </c:pt>
                <c:pt idx="70">
                  <c:v>-100065.46536298044</c:v>
                </c:pt>
                <c:pt idx="71">
                  <c:v>-100032.85771501587</c:v>
                </c:pt>
                <c:pt idx="72">
                  <c:v>-100000</c:v>
                </c:pt>
              </c:numCache>
            </c:numRef>
          </c:yVal>
          <c:smooth val="0"/>
          <c:extLst>
            <c:ext xmlns:c16="http://schemas.microsoft.com/office/drawing/2014/chart" uri="{C3380CC4-5D6E-409C-BE32-E72D297353CC}">
              <c16:uniqueId val="{0000000E-1673-41D7-A5FC-7E26F328539E}"/>
            </c:ext>
          </c:extLst>
        </c:ser>
        <c:ser>
          <c:idx val="18"/>
          <c:order val="18"/>
          <c:tx>
            <c:v>2m_F</c:v>
          </c:tx>
          <c:spPr>
            <a:ln>
              <a:solidFill>
                <a:srgbClr val="80B8E0">
                  <a:alpha val="50000"/>
                </a:srgbClr>
              </a:solidFill>
            </a:ln>
          </c:spPr>
          <c:marker>
            <c:symbol val="none"/>
          </c:marker>
          <c:xVal>
            <c:numRef>
              <c:f>('Background calcs'!$N$120,'Background calcs'!$N$88,'Background calcs'!$N$90,'Background calcs'!$N$69,'Background calcs'!$N$65,'Background calcs'!$N$88,'Background calcs'!$N$75,'Background calcs'!$N$73,'Background calcs'!$N$69,'Background calcs'!$N$73,'Background calcs'!$N$85)</c:f>
              <c:numCache>
                <c:formatCode>General</c:formatCode>
                <c:ptCount val="11"/>
                <c:pt idx="0">
                  <c:v>-99745.530641220525</c:v>
                </c:pt>
                <c:pt idx="1">
                  <c:v>-99641.117780265136</c:v>
                </c:pt>
                <c:pt idx="2">
                  <c:v>-99575.548589353275</c:v>
                </c:pt>
                <c:pt idx="3">
                  <c:v>-99575.548589353275</c:v>
                </c:pt>
                <c:pt idx="4">
                  <c:v>-100000</c:v>
                </c:pt>
                <c:pt idx="5">
                  <c:v>-99641.117780265136</c:v>
                </c:pt>
                <c:pt idx="6">
                  <c:v>-99105.548589353275</c:v>
                </c:pt>
                <c:pt idx="7">
                  <c:v>-99054.834397944389</c:v>
                </c:pt>
                <c:pt idx="8">
                  <c:v>-99575.548589353275</c:v>
                </c:pt>
                <c:pt idx="9">
                  <c:v>-99054.834397944389</c:v>
                </c:pt>
                <c:pt idx="10">
                  <c:v>-98786.88304439433</c:v>
                </c:pt>
              </c:numCache>
            </c:numRef>
          </c:xVal>
          <c:yVal>
            <c:numRef>
              <c:f>('Background calcs'!$N$121,'Background calcs'!$N$87,'Background calcs'!$N$91,'Background calcs'!$N$70,'Background calcs'!$N$66,'Background calcs'!$N$87,'Background calcs'!$N$76,'Background calcs'!$N$74,'Background calcs'!$N$70,'Background calcs'!$N$74,'Background calcs'!$N$81)</c:f>
              <c:numCache>
                <c:formatCode>General</c:formatCode>
                <c:ptCount val="11"/>
                <c:pt idx="0">
                  <c:v>-99360.499386578391</c:v>
                </c:pt>
                <c:pt idx="1">
                  <c:v>-99737</c:v>
                </c:pt>
                <c:pt idx="2">
                  <c:v>-99973.434864191877</c:v>
                </c:pt>
                <c:pt idx="3">
                  <c:v>-100055</c:v>
                </c:pt>
                <c:pt idx="4">
                  <c:v>-100000</c:v>
                </c:pt>
                <c:pt idx="5">
                  <c:v>-99737</c:v>
                </c:pt>
                <c:pt idx="6">
                  <c:v>-99416</c:v>
                </c:pt>
                <c:pt idx="7">
                  <c:v>-99524.756934444391</c:v>
                </c:pt>
                <c:pt idx="8">
                  <c:v>-100055</c:v>
                </c:pt>
                <c:pt idx="9">
                  <c:v>-99524.756934444391</c:v>
                </c:pt>
                <c:pt idx="10">
                  <c:v>-100000</c:v>
                </c:pt>
              </c:numCache>
            </c:numRef>
          </c:yVal>
          <c:smooth val="0"/>
          <c:extLst>
            <c:ext xmlns:c16="http://schemas.microsoft.com/office/drawing/2014/chart" uri="{C3380CC4-5D6E-409C-BE32-E72D297353CC}">
              <c16:uniqueId val="{00000014-1673-41D7-A5FC-7E26F328539E}"/>
            </c:ext>
          </c:extLst>
        </c:ser>
        <c:ser>
          <c:idx val="19"/>
          <c:order val="19"/>
          <c:tx>
            <c:v>2m_S</c:v>
          </c:tx>
          <c:spPr>
            <a:ln>
              <a:solidFill>
                <a:srgbClr val="80B8E0">
                  <a:alpha val="50000"/>
                </a:srgbClr>
              </a:solidFill>
            </a:ln>
          </c:spPr>
          <c:marker>
            <c:symbol val="none"/>
          </c:marker>
          <c:xVal>
            <c:numRef>
              <c:f>('Background calcs'!$N$116,'Background calcs'!$N$118)</c:f>
              <c:numCache>
                <c:formatCode>General</c:formatCode>
                <c:ptCount val="2"/>
                <c:pt idx="0">
                  <c:v>-99637.530641220525</c:v>
                </c:pt>
                <c:pt idx="1">
                  <c:v>-99817.530641220525</c:v>
                </c:pt>
              </c:numCache>
            </c:numRef>
          </c:xVal>
          <c:yVal>
            <c:numRef>
              <c:f>('Background calcs'!$N$117,'Background calcs'!$N$119)</c:f>
              <c:numCache>
                <c:formatCode>General</c:formatCode>
                <c:ptCount val="2"/>
                <c:pt idx="0">
                  <c:v>-99360.499386578391</c:v>
                </c:pt>
                <c:pt idx="1">
                  <c:v>-99360.499386578391</c:v>
                </c:pt>
              </c:numCache>
            </c:numRef>
          </c:yVal>
          <c:smooth val="0"/>
          <c:extLst>
            <c:ext xmlns:c16="http://schemas.microsoft.com/office/drawing/2014/chart" uri="{C3380CC4-5D6E-409C-BE32-E72D297353CC}">
              <c16:uniqueId val="{00000015-1673-41D7-A5FC-7E26F328539E}"/>
            </c:ext>
          </c:extLst>
        </c:ser>
        <c:ser>
          <c:idx val="20"/>
          <c:order val="20"/>
          <c:tx>
            <c:v>2m_C</c:v>
          </c:tx>
          <c:spPr>
            <a:ln>
              <a:solidFill>
                <a:srgbClr val="80B8E0">
                  <a:alpha val="50000"/>
                </a:srgbClr>
              </a:solidFill>
            </a:ln>
          </c:spPr>
          <c:marker>
            <c:symbol val="none"/>
          </c:marker>
          <c:xVal>
            <c:numRef>
              <c:f>('Background calcs'!$N$77,'Background calcs'!$N$94,'Background calcs'!$N$97,'Background calcs'!$N$100,'Background calcs'!$N$106)</c:f>
              <c:numCache>
                <c:formatCode>General</c:formatCode>
                <c:ptCount val="5"/>
                <c:pt idx="0">
                  <c:v>-99105.548589353275</c:v>
                </c:pt>
                <c:pt idx="1">
                  <c:v>-99121.608083299419</c:v>
                </c:pt>
                <c:pt idx="2">
                  <c:v>-99085.355771817951</c:v>
                </c:pt>
                <c:pt idx="3">
                  <c:v>-99085.355771817951</c:v>
                </c:pt>
                <c:pt idx="4">
                  <c:v>-99112.270679434339</c:v>
                </c:pt>
              </c:numCache>
            </c:numRef>
          </c:xVal>
          <c:yVal>
            <c:numRef>
              <c:f>('Background calcs'!$N$78,'Background calcs'!$N$95,'Background calcs'!$N$98,'Background calcs'!$N$101,'Background calcs'!$N$107)</c:f>
              <c:numCache>
                <c:formatCode>General</c:formatCode>
                <c:ptCount val="5"/>
                <c:pt idx="0">
                  <c:v>-99416</c:v>
                </c:pt>
                <c:pt idx="1">
                  <c:v>-99381.560304092607</c:v>
                </c:pt>
                <c:pt idx="2">
                  <c:v>-99364.655573622978</c:v>
                </c:pt>
                <c:pt idx="3">
                  <c:v>-99339.655573622978</c:v>
                </c:pt>
                <c:pt idx="4">
                  <c:v>-99321.572149477681</c:v>
                </c:pt>
              </c:numCache>
            </c:numRef>
          </c:yVal>
          <c:smooth val="0"/>
          <c:extLst>
            <c:ext xmlns:c16="http://schemas.microsoft.com/office/drawing/2014/chart" uri="{C3380CC4-5D6E-409C-BE32-E72D297353CC}">
              <c16:uniqueId val="{00000017-1673-41D7-A5FC-7E26F328539E}"/>
            </c:ext>
          </c:extLst>
        </c:ser>
        <c:ser>
          <c:idx val="21"/>
          <c:order val="21"/>
          <c:tx>
            <c:v>2m_P</c:v>
          </c:tx>
          <c:spPr>
            <a:ln>
              <a:solidFill>
                <a:srgbClr val="80B8E0">
                  <a:alpha val="50000"/>
                </a:srgbClr>
              </a:solidFill>
            </a:ln>
          </c:spPr>
          <c:marker>
            <c:symbol val="none"/>
          </c:marker>
          <c:xVal>
            <c:numRef>
              <c:f>('Background calcs'!$N$71,'Background calcs'!$N$108,'Background calcs'!$N$110,'Background calcs'!$N$112)</c:f>
              <c:numCache>
                <c:formatCode>General</c:formatCode>
                <c:ptCount val="4"/>
                <c:pt idx="0">
                  <c:v>-99575.548589353275</c:v>
                </c:pt>
                <c:pt idx="1">
                  <c:v>-99575.548589353275</c:v>
                </c:pt>
                <c:pt idx="2">
                  <c:v>-99525.548589353275</c:v>
                </c:pt>
                <c:pt idx="3">
                  <c:v>-99625.548589353275</c:v>
                </c:pt>
              </c:numCache>
            </c:numRef>
          </c:xVal>
          <c:yVal>
            <c:numRef>
              <c:f>('Background calcs'!$N$72,'Background calcs'!$N$109,'Background calcs'!$N$111,'Background calcs'!$N$113)</c:f>
              <c:numCache>
                <c:formatCode>General</c:formatCode>
                <c:ptCount val="4"/>
                <c:pt idx="0">
                  <c:v>-100055</c:v>
                </c:pt>
                <c:pt idx="1">
                  <c:v>-100225</c:v>
                </c:pt>
                <c:pt idx="2">
                  <c:v>-100225</c:v>
                </c:pt>
                <c:pt idx="3">
                  <c:v>-100225</c:v>
                </c:pt>
              </c:numCache>
            </c:numRef>
          </c:yVal>
          <c:smooth val="0"/>
          <c:extLst>
            <c:ext xmlns:c16="http://schemas.microsoft.com/office/drawing/2014/chart" uri="{C3380CC4-5D6E-409C-BE32-E72D297353CC}">
              <c16:uniqueId val="{00000018-1673-41D7-A5FC-7E26F328539E}"/>
            </c:ext>
          </c:extLst>
        </c:ser>
        <c:ser>
          <c:idx val="22"/>
          <c:order val="22"/>
          <c:tx>
            <c:v>2m_r</c:v>
          </c:tx>
          <c:spPr>
            <a:ln>
              <a:solidFill>
                <a:srgbClr val="80B8E0">
                  <a:alpha val="50000"/>
                </a:srgbClr>
              </a:solidFill>
            </a:ln>
          </c:spPr>
          <c:marker>
            <c:symbol val="none"/>
          </c:marker>
          <c:xVal>
            <c:numRef>
              <c:f>'Background calcs'!$N$155:$N$227</c:f>
              <c:numCache>
                <c:formatCode>General</c:formatCode>
                <c:ptCount val="73"/>
                <c:pt idx="0">
                  <c:v>-99623</c:v>
                </c:pt>
                <c:pt idx="1">
                  <c:v>-99624.434598819411</c:v>
                </c:pt>
                <c:pt idx="2">
                  <c:v>-99628.7274771144</c:v>
                </c:pt>
                <c:pt idx="3">
                  <c:v>-99635.845963489017</c:v>
                </c:pt>
                <c:pt idx="4">
                  <c:v>-99645.735881963716</c:v>
                </c:pt>
                <c:pt idx="5">
                  <c:v>-99658.321964287185</c:v>
                </c:pt>
                <c:pt idx="6">
                  <c:v>-99673.508422773273</c:v>
                </c:pt>
                <c:pt idx="7">
                  <c:v>-99691.179679303052</c:v>
                </c:pt>
                <c:pt idx="8">
                  <c:v>-99711.201244944139</c:v>
                </c:pt>
                <c:pt idx="9">
                  <c:v>-99733.420743492665</c:v>
                </c:pt>
                <c:pt idx="10">
                  <c:v>-99757.669071148179</c:v>
                </c:pt>
                <c:pt idx="11">
                  <c:v>-99783.761683495657</c:v>
                </c:pt>
                <c:pt idx="12">
                  <c:v>-99811.5</c:v>
                </c:pt>
                <c:pt idx="13">
                  <c:v>-99840.672915323754</c:v>
                </c:pt>
                <c:pt idx="14">
                  <c:v>-99871.058405966221</c:v>
                </c:pt>
                <c:pt idx="15">
                  <c:v>-99902.425219996352</c:v>
                </c:pt>
                <c:pt idx="16">
                  <c:v>-99934.534637019562</c:v>
                </c:pt>
                <c:pt idx="17">
                  <c:v>-99967.142284984133</c:v>
                </c:pt>
                <c:pt idx="18">
                  <c:v>-100000</c:v>
                </c:pt>
                <c:pt idx="19">
                  <c:v>-100032.85771501587</c:v>
                </c:pt>
                <c:pt idx="20">
                  <c:v>-100065.46536298044</c:v>
                </c:pt>
                <c:pt idx="21">
                  <c:v>-100097.57478000365</c:v>
                </c:pt>
                <c:pt idx="22">
                  <c:v>-100128.94159403378</c:v>
                </c:pt>
                <c:pt idx="23">
                  <c:v>-100159.32708467625</c:v>
                </c:pt>
                <c:pt idx="24">
                  <c:v>-100188.5</c:v>
                </c:pt>
                <c:pt idx="25">
                  <c:v>-100216.23831650434</c:v>
                </c:pt>
                <c:pt idx="26">
                  <c:v>-100242.33092885182</c:v>
                </c:pt>
                <c:pt idx="27">
                  <c:v>-100266.57925650734</c:v>
                </c:pt>
                <c:pt idx="28">
                  <c:v>-100288.79875505586</c:v>
                </c:pt>
                <c:pt idx="29">
                  <c:v>-100308.82032069695</c:v>
                </c:pt>
                <c:pt idx="30">
                  <c:v>-100326.49157722673</c:v>
                </c:pt>
                <c:pt idx="31">
                  <c:v>-100341.67803571282</c:v>
                </c:pt>
                <c:pt idx="32">
                  <c:v>-100354.26411803628</c:v>
                </c:pt>
                <c:pt idx="33">
                  <c:v>-100364.15403651098</c:v>
                </c:pt>
                <c:pt idx="34">
                  <c:v>-100371.2725228856</c:v>
                </c:pt>
                <c:pt idx="35">
                  <c:v>-100375.56540118059</c:v>
                </c:pt>
                <c:pt idx="36">
                  <c:v>-100377</c:v>
                </c:pt>
                <c:pt idx="37">
                  <c:v>-100375.56540118059</c:v>
                </c:pt>
                <c:pt idx="38">
                  <c:v>-100371.2725228856</c:v>
                </c:pt>
                <c:pt idx="39">
                  <c:v>-100364.15403651098</c:v>
                </c:pt>
                <c:pt idx="40">
                  <c:v>-100354.26411803628</c:v>
                </c:pt>
                <c:pt idx="41">
                  <c:v>-100341.67803571282</c:v>
                </c:pt>
                <c:pt idx="42">
                  <c:v>-100326.49157722673</c:v>
                </c:pt>
                <c:pt idx="43">
                  <c:v>-100308.82032069695</c:v>
                </c:pt>
                <c:pt idx="44">
                  <c:v>-100288.79875505586</c:v>
                </c:pt>
                <c:pt idx="45">
                  <c:v>-100266.57925650734</c:v>
                </c:pt>
                <c:pt idx="46">
                  <c:v>-100242.33092885182</c:v>
                </c:pt>
                <c:pt idx="47">
                  <c:v>-100216.23831650434</c:v>
                </c:pt>
                <c:pt idx="48">
                  <c:v>-100188.5</c:v>
                </c:pt>
                <c:pt idx="49">
                  <c:v>-100159.32708467625</c:v>
                </c:pt>
                <c:pt idx="50">
                  <c:v>-100128.94159403378</c:v>
                </c:pt>
                <c:pt idx="51">
                  <c:v>-100097.57478000365</c:v>
                </c:pt>
                <c:pt idx="52">
                  <c:v>-100065.46536298044</c:v>
                </c:pt>
                <c:pt idx="53">
                  <c:v>-100032.85771501587</c:v>
                </c:pt>
                <c:pt idx="54">
                  <c:v>-100000</c:v>
                </c:pt>
                <c:pt idx="55">
                  <c:v>-99967.142284984133</c:v>
                </c:pt>
                <c:pt idx="56">
                  <c:v>-99934.534637019562</c:v>
                </c:pt>
                <c:pt idx="57">
                  <c:v>-99902.425219996352</c:v>
                </c:pt>
                <c:pt idx="58">
                  <c:v>-99871.058405966221</c:v>
                </c:pt>
                <c:pt idx="59">
                  <c:v>-99840.672915323754</c:v>
                </c:pt>
                <c:pt idx="60">
                  <c:v>-99811.5</c:v>
                </c:pt>
                <c:pt idx="61">
                  <c:v>-99783.761683495657</c:v>
                </c:pt>
                <c:pt idx="62">
                  <c:v>-99757.669071148179</c:v>
                </c:pt>
                <c:pt idx="63">
                  <c:v>-99733.420743492665</c:v>
                </c:pt>
                <c:pt idx="64">
                  <c:v>-99711.201244944139</c:v>
                </c:pt>
                <c:pt idx="65">
                  <c:v>-99691.179679303052</c:v>
                </c:pt>
                <c:pt idx="66">
                  <c:v>-99673.508422773273</c:v>
                </c:pt>
                <c:pt idx="67">
                  <c:v>-99658.321964287185</c:v>
                </c:pt>
                <c:pt idx="68">
                  <c:v>-99645.735881963716</c:v>
                </c:pt>
                <c:pt idx="69">
                  <c:v>-99635.845963489017</c:v>
                </c:pt>
                <c:pt idx="70">
                  <c:v>-99628.7274771144</c:v>
                </c:pt>
                <c:pt idx="71">
                  <c:v>-99624.434598819411</c:v>
                </c:pt>
                <c:pt idx="72">
                  <c:v>-99623</c:v>
                </c:pt>
              </c:numCache>
            </c:numRef>
          </c:xVal>
          <c:yVal>
            <c:numRef>
              <c:f>'Background calcs'!$N$229:$N$301</c:f>
              <c:numCache>
                <c:formatCode>General</c:formatCode>
                <c:ptCount val="73"/>
                <c:pt idx="0">
                  <c:v>-100000</c:v>
                </c:pt>
                <c:pt idx="1">
                  <c:v>-99967.142284984133</c:v>
                </c:pt>
                <c:pt idx="2">
                  <c:v>-99934.534637019562</c:v>
                </c:pt>
                <c:pt idx="3">
                  <c:v>-99902.425219996352</c:v>
                </c:pt>
                <c:pt idx="4">
                  <c:v>-99871.058405966221</c:v>
                </c:pt>
                <c:pt idx="5">
                  <c:v>-99840.672915323754</c:v>
                </c:pt>
                <c:pt idx="6">
                  <c:v>-99811.5</c:v>
                </c:pt>
                <c:pt idx="7">
                  <c:v>-99783.761683495657</c:v>
                </c:pt>
                <c:pt idx="8">
                  <c:v>-99757.669071148179</c:v>
                </c:pt>
                <c:pt idx="9">
                  <c:v>-99733.420743492665</c:v>
                </c:pt>
                <c:pt idx="10">
                  <c:v>-99711.201244944139</c:v>
                </c:pt>
                <c:pt idx="11">
                  <c:v>-99691.179679303052</c:v>
                </c:pt>
                <c:pt idx="12">
                  <c:v>-99673.508422773273</c:v>
                </c:pt>
                <c:pt idx="13">
                  <c:v>-99658.321964287185</c:v>
                </c:pt>
                <c:pt idx="14">
                  <c:v>-99645.735881963716</c:v>
                </c:pt>
                <c:pt idx="15">
                  <c:v>-99635.845963489017</c:v>
                </c:pt>
                <c:pt idx="16">
                  <c:v>-99628.7274771144</c:v>
                </c:pt>
                <c:pt idx="17">
                  <c:v>-99624.434598819411</c:v>
                </c:pt>
                <c:pt idx="18">
                  <c:v>-99623</c:v>
                </c:pt>
                <c:pt idx="19">
                  <c:v>-99624.434598819411</c:v>
                </c:pt>
                <c:pt idx="20">
                  <c:v>-99628.7274771144</c:v>
                </c:pt>
                <c:pt idx="21">
                  <c:v>-99635.845963489017</c:v>
                </c:pt>
                <c:pt idx="22">
                  <c:v>-99645.735881963716</c:v>
                </c:pt>
                <c:pt idx="23">
                  <c:v>-99658.321964287185</c:v>
                </c:pt>
                <c:pt idx="24">
                  <c:v>-99673.508422773273</c:v>
                </c:pt>
                <c:pt idx="25">
                  <c:v>-99691.179679303052</c:v>
                </c:pt>
                <c:pt idx="26">
                  <c:v>-99711.201244944139</c:v>
                </c:pt>
                <c:pt idx="27">
                  <c:v>-99733.420743492665</c:v>
                </c:pt>
                <c:pt idx="28">
                  <c:v>-99757.669071148179</c:v>
                </c:pt>
                <c:pt idx="29">
                  <c:v>-99783.761683495657</c:v>
                </c:pt>
                <c:pt idx="30">
                  <c:v>-99811.5</c:v>
                </c:pt>
                <c:pt idx="31">
                  <c:v>-99840.672915323754</c:v>
                </c:pt>
                <c:pt idx="32">
                  <c:v>-99871.058405966221</c:v>
                </c:pt>
                <c:pt idx="33">
                  <c:v>-99902.425219996352</c:v>
                </c:pt>
                <c:pt idx="34">
                  <c:v>-99934.534637019562</c:v>
                </c:pt>
                <c:pt idx="35">
                  <c:v>-99967.142284984133</c:v>
                </c:pt>
                <c:pt idx="36">
                  <c:v>-100000</c:v>
                </c:pt>
                <c:pt idx="37">
                  <c:v>-100032.85771501587</c:v>
                </c:pt>
                <c:pt idx="38">
                  <c:v>-100065.46536298044</c:v>
                </c:pt>
                <c:pt idx="39">
                  <c:v>-100097.57478000365</c:v>
                </c:pt>
                <c:pt idx="40">
                  <c:v>-100128.94159403378</c:v>
                </c:pt>
                <c:pt idx="41">
                  <c:v>-100159.32708467625</c:v>
                </c:pt>
                <c:pt idx="42">
                  <c:v>-100188.5</c:v>
                </c:pt>
                <c:pt idx="43">
                  <c:v>-100216.23831650434</c:v>
                </c:pt>
                <c:pt idx="44">
                  <c:v>-100242.33092885182</c:v>
                </c:pt>
                <c:pt idx="45">
                  <c:v>-100266.57925650734</c:v>
                </c:pt>
                <c:pt idx="46">
                  <c:v>-100288.79875505586</c:v>
                </c:pt>
                <c:pt idx="47">
                  <c:v>-100308.82032069695</c:v>
                </c:pt>
                <c:pt idx="48">
                  <c:v>-100326.49157722673</c:v>
                </c:pt>
                <c:pt idx="49">
                  <c:v>-100341.67803571282</c:v>
                </c:pt>
                <c:pt idx="50">
                  <c:v>-100354.26411803628</c:v>
                </c:pt>
                <c:pt idx="51">
                  <c:v>-100364.15403651098</c:v>
                </c:pt>
                <c:pt idx="52">
                  <c:v>-100371.2725228856</c:v>
                </c:pt>
                <c:pt idx="53">
                  <c:v>-100375.56540118059</c:v>
                </c:pt>
                <c:pt idx="54">
                  <c:v>-100377</c:v>
                </c:pt>
                <c:pt idx="55">
                  <c:v>-100375.56540118059</c:v>
                </c:pt>
                <c:pt idx="56">
                  <c:v>-100371.2725228856</c:v>
                </c:pt>
                <c:pt idx="57">
                  <c:v>-100364.15403651098</c:v>
                </c:pt>
                <c:pt idx="58">
                  <c:v>-100354.26411803628</c:v>
                </c:pt>
                <c:pt idx="59">
                  <c:v>-100341.67803571282</c:v>
                </c:pt>
                <c:pt idx="60">
                  <c:v>-100326.49157722673</c:v>
                </c:pt>
                <c:pt idx="61">
                  <c:v>-100308.82032069695</c:v>
                </c:pt>
                <c:pt idx="62">
                  <c:v>-100288.79875505586</c:v>
                </c:pt>
                <c:pt idx="63">
                  <c:v>-100266.57925650734</c:v>
                </c:pt>
                <c:pt idx="64">
                  <c:v>-100242.33092885182</c:v>
                </c:pt>
                <c:pt idx="65">
                  <c:v>-100216.23831650434</c:v>
                </c:pt>
                <c:pt idx="66">
                  <c:v>-100188.5</c:v>
                </c:pt>
                <c:pt idx="67">
                  <c:v>-100159.32708467625</c:v>
                </c:pt>
                <c:pt idx="68">
                  <c:v>-100128.94159403378</c:v>
                </c:pt>
                <c:pt idx="69">
                  <c:v>-100097.57478000365</c:v>
                </c:pt>
                <c:pt idx="70">
                  <c:v>-100065.46536298044</c:v>
                </c:pt>
                <c:pt idx="71">
                  <c:v>-100032.85771501587</c:v>
                </c:pt>
                <c:pt idx="72">
                  <c:v>-100000</c:v>
                </c:pt>
              </c:numCache>
            </c:numRef>
          </c:yVal>
          <c:smooth val="0"/>
          <c:extLst>
            <c:ext xmlns:c16="http://schemas.microsoft.com/office/drawing/2014/chart" uri="{C3380CC4-5D6E-409C-BE32-E72D297353CC}">
              <c16:uniqueId val="{00000019-1673-41D7-A5FC-7E26F328539E}"/>
            </c:ext>
          </c:extLst>
        </c:ser>
        <c:ser>
          <c:idx val="23"/>
          <c:order val="23"/>
          <c:tx>
            <c:v>2m_f</c:v>
          </c:tx>
          <c:spPr>
            <a:ln>
              <a:solidFill>
                <a:srgbClr val="80B8E0">
                  <a:alpha val="50000"/>
                </a:srgbClr>
              </a:solidFill>
            </a:ln>
          </c:spPr>
          <c:marker>
            <c:symbol val="none"/>
          </c:marker>
          <c:xVal>
            <c:numRef>
              <c:f>'Background calcs'!$N$304:$N$376</c:f>
              <c:numCache>
                <c:formatCode>General</c:formatCode>
                <c:ptCount val="73"/>
                <c:pt idx="0">
                  <c:v>-98409.88304439433</c:v>
                </c:pt>
                <c:pt idx="1">
                  <c:v>-98411.317643213741</c:v>
                </c:pt>
                <c:pt idx="2">
                  <c:v>-98415.61052150873</c:v>
                </c:pt>
                <c:pt idx="3">
                  <c:v>-98422.729007883347</c:v>
                </c:pt>
                <c:pt idx="4">
                  <c:v>-98432.618926358045</c:v>
                </c:pt>
                <c:pt idx="5">
                  <c:v>-98445.205008681514</c:v>
                </c:pt>
                <c:pt idx="6">
                  <c:v>-98460.391467167603</c:v>
                </c:pt>
                <c:pt idx="7">
                  <c:v>-98478.062723697381</c:v>
                </c:pt>
                <c:pt idx="8">
                  <c:v>-98498.084289338469</c:v>
                </c:pt>
                <c:pt idx="9">
                  <c:v>-98520.303787886995</c:v>
                </c:pt>
                <c:pt idx="10">
                  <c:v>-98544.552115542509</c:v>
                </c:pt>
                <c:pt idx="11">
                  <c:v>-98570.644727889987</c:v>
                </c:pt>
                <c:pt idx="12">
                  <c:v>-98598.38304439433</c:v>
                </c:pt>
                <c:pt idx="13">
                  <c:v>-98627.555959718084</c:v>
                </c:pt>
                <c:pt idx="14">
                  <c:v>-98657.941450360551</c:v>
                </c:pt>
                <c:pt idx="15">
                  <c:v>-98689.308264390682</c:v>
                </c:pt>
                <c:pt idx="16">
                  <c:v>-98721.417681413892</c:v>
                </c:pt>
                <c:pt idx="17">
                  <c:v>-98754.025329378463</c:v>
                </c:pt>
                <c:pt idx="18">
                  <c:v>-98786.88304439433</c:v>
                </c:pt>
                <c:pt idx="19">
                  <c:v>-98819.740759410197</c:v>
                </c:pt>
                <c:pt idx="20">
                  <c:v>-98852.348407374768</c:v>
                </c:pt>
                <c:pt idx="21">
                  <c:v>-98884.457824397978</c:v>
                </c:pt>
                <c:pt idx="22">
                  <c:v>-98915.824638428108</c:v>
                </c:pt>
                <c:pt idx="23">
                  <c:v>-98946.210129070576</c:v>
                </c:pt>
                <c:pt idx="24">
                  <c:v>-98975.38304439433</c:v>
                </c:pt>
                <c:pt idx="25">
                  <c:v>-99003.121360898673</c:v>
                </c:pt>
                <c:pt idx="26">
                  <c:v>-99029.213973246151</c:v>
                </c:pt>
                <c:pt idx="27">
                  <c:v>-99053.462300901665</c:v>
                </c:pt>
                <c:pt idx="28">
                  <c:v>-99075.681799450191</c:v>
                </c:pt>
                <c:pt idx="29">
                  <c:v>-99095.703365091278</c:v>
                </c:pt>
                <c:pt idx="30">
                  <c:v>-99113.374621621057</c:v>
                </c:pt>
                <c:pt idx="31">
                  <c:v>-99128.561080107145</c:v>
                </c:pt>
                <c:pt idx="32">
                  <c:v>-99141.147162430614</c:v>
                </c:pt>
                <c:pt idx="33">
                  <c:v>-99151.037080905313</c:v>
                </c:pt>
                <c:pt idx="34">
                  <c:v>-99158.15556727993</c:v>
                </c:pt>
                <c:pt idx="35">
                  <c:v>-99162.448445574919</c:v>
                </c:pt>
                <c:pt idx="36">
                  <c:v>-99163.88304439433</c:v>
                </c:pt>
                <c:pt idx="37">
                  <c:v>-99162.448445574919</c:v>
                </c:pt>
                <c:pt idx="38">
                  <c:v>-99158.15556727993</c:v>
                </c:pt>
                <c:pt idx="39">
                  <c:v>-99151.037080905313</c:v>
                </c:pt>
                <c:pt idx="40">
                  <c:v>-99141.147162430614</c:v>
                </c:pt>
                <c:pt idx="41">
                  <c:v>-99128.561080107145</c:v>
                </c:pt>
                <c:pt idx="42">
                  <c:v>-99113.374621621057</c:v>
                </c:pt>
                <c:pt idx="43">
                  <c:v>-99095.703365091278</c:v>
                </c:pt>
                <c:pt idx="44">
                  <c:v>-99075.681799450191</c:v>
                </c:pt>
                <c:pt idx="45">
                  <c:v>-99053.462300901665</c:v>
                </c:pt>
                <c:pt idx="46">
                  <c:v>-99029.213973246151</c:v>
                </c:pt>
                <c:pt idx="47">
                  <c:v>-99003.121360898673</c:v>
                </c:pt>
                <c:pt idx="48">
                  <c:v>-98975.38304439433</c:v>
                </c:pt>
                <c:pt idx="49">
                  <c:v>-98946.210129070576</c:v>
                </c:pt>
                <c:pt idx="50">
                  <c:v>-98915.824638428108</c:v>
                </c:pt>
                <c:pt idx="51">
                  <c:v>-98884.457824397978</c:v>
                </c:pt>
                <c:pt idx="52">
                  <c:v>-98852.348407374768</c:v>
                </c:pt>
                <c:pt idx="53">
                  <c:v>-98819.740759410197</c:v>
                </c:pt>
                <c:pt idx="54">
                  <c:v>-98786.88304439433</c:v>
                </c:pt>
                <c:pt idx="55">
                  <c:v>-98754.025329378463</c:v>
                </c:pt>
                <c:pt idx="56">
                  <c:v>-98721.417681413892</c:v>
                </c:pt>
                <c:pt idx="57">
                  <c:v>-98689.308264390682</c:v>
                </c:pt>
                <c:pt idx="58">
                  <c:v>-98657.941450360551</c:v>
                </c:pt>
                <c:pt idx="59">
                  <c:v>-98627.555959718084</c:v>
                </c:pt>
                <c:pt idx="60">
                  <c:v>-98598.38304439433</c:v>
                </c:pt>
                <c:pt idx="61">
                  <c:v>-98570.644727889987</c:v>
                </c:pt>
                <c:pt idx="62">
                  <c:v>-98544.552115542509</c:v>
                </c:pt>
                <c:pt idx="63">
                  <c:v>-98520.303787886995</c:v>
                </c:pt>
                <c:pt idx="64">
                  <c:v>-98498.084289338469</c:v>
                </c:pt>
                <c:pt idx="65">
                  <c:v>-98478.062723697381</c:v>
                </c:pt>
                <c:pt idx="66">
                  <c:v>-98460.391467167603</c:v>
                </c:pt>
                <c:pt idx="67">
                  <c:v>-98445.205008681514</c:v>
                </c:pt>
                <c:pt idx="68">
                  <c:v>-98432.618926358045</c:v>
                </c:pt>
                <c:pt idx="69">
                  <c:v>-98422.729007883347</c:v>
                </c:pt>
                <c:pt idx="70">
                  <c:v>-98415.61052150873</c:v>
                </c:pt>
                <c:pt idx="71">
                  <c:v>-98411.317643213741</c:v>
                </c:pt>
                <c:pt idx="72">
                  <c:v>-98409.88304439433</c:v>
                </c:pt>
              </c:numCache>
            </c:numRef>
          </c:xVal>
          <c:yVal>
            <c:numRef>
              <c:f>'Background calcs'!$N$378:$N$450</c:f>
              <c:numCache>
                <c:formatCode>General</c:formatCode>
                <c:ptCount val="73"/>
                <c:pt idx="0">
                  <c:v>-100000</c:v>
                </c:pt>
                <c:pt idx="1">
                  <c:v>-99967.142284984133</c:v>
                </c:pt>
                <c:pt idx="2">
                  <c:v>-99934.534637019562</c:v>
                </c:pt>
                <c:pt idx="3">
                  <c:v>-99902.425219996352</c:v>
                </c:pt>
                <c:pt idx="4">
                  <c:v>-99871.058405966221</c:v>
                </c:pt>
                <c:pt idx="5">
                  <c:v>-99840.672915323754</c:v>
                </c:pt>
                <c:pt idx="6">
                  <c:v>-99811.5</c:v>
                </c:pt>
                <c:pt idx="7">
                  <c:v>-99783.761683495657</c:v>
                </c:pt>
                <c:pt idx="8">
                  <c:v>-99757.669071148179</c:v>
                </c:pt>
                <c:pt idx="9">
                  <c:v>-99733.420743492665</c:v>
                </c:pt>
                <c:pt idx="10">
                  <c:v>-99711.201244944139</c:v>
                </c:pt>
                <c:pt idx="11">
                  <c:v>-99691.179679303052</c:v>
                </c:pt>
                <c:pt idx="12">
                  <c:v>-99673.508422773273</c:v>
                </c:pt>
                <c:pt idx="13">
                  <c:v>-99658.321964287185</c:v>
                </c:pt>
                <c:pt idx="14">
                  <c:v>-99645.735881963716</c:v>
                </c:pt>
                <c:pt idx="15">
                  <c:v>-99635.845963489017</c:v>
                </c:pt>
                <c:pt idx="16">
                  <c:v>-99628.7274771144</c:v>
                </c:pt>
                <c:pt idx="17">
                  <c:v>-99624.434598819411</c:v>
                </c:pt>
                <c:pt idx="18">
                  <c:v>-99623</c:v>
                </c:pt>
                <c:pt idx="19">
                  <c:v>-99624.434598819411</c:v>
                </c:pt>
                <c:pt idx="20">
                  <c:v>-99628.7274771144</c:v>
                </c:pt>
                <c:pt idx="21">
                  <c:v>-99635.845963489017</c:v>
                </c:pt>
                <c:pt idx="22">
                  <c:v>-99645.735881963716</c:v>
                </c:pt>
                <c:pt idx="23">
                  <c:v>-99658.321964287185</c:v>
                </c:pt>
                <c:pt idx="24">
                  <c:v>-99673.508422773273</c:v>
                </c:pt>
                <c:pt idx="25">
                  <c:v>-99691.179679303052</c:v>
                </c:pt>
                <c:pt idx="26">
                  <c:v>-99711.201244944139</c:v>
                </c:pt>
                <c:pt idx="27">
                  <c:v>-99733.420743492665</c:v>
                </c:pt>
                <c:pt idx="28">
                  <c:v>-99757.669071148179</c:v>
                </c:pt>
                <c:pt idx="29">
                  <c:v>-99783.761683495657</c:v>
                </c:pt>
                <c:pt idx="30">
                  <c:v>-99811.5</c:v>
                </c:pt>
                <c:pt idx="31">
                  <c:v>-99840.672915323754</c:v>
                </c:pt>
                <c:pt idx="32">
                  <c:v>-99871.058405966221</c:v>
                </c:pt>
                <c:pt idx="33">
                  <c:v>-99902.425219996352</c:v>
                </c:pt>
                <c:pt idx="34">
                  <c:v>-99934.534637019562</c:v>
                </c:pt>
                <c:pt idx="35">
                  <c:v>-99967.142284984133</c:v>
                </c:pt>
                <c:pt idx="36">
                  <c:v>-100000</c:v>
                </c:pt>
                <c:pt idx="37">
                  <c:v>-100032.85771501587</c:v>
                </c:pt>
                <c:pt idx="38">
                  <c:v>-100065.46536298044</c:v>
                </c:pt>
                <c:pt idx="39">
                  <c:v>-100097.57478000365</c:v>
                </c:pt>
                <c:pt idx="40">
                  <c:v>-100128.94159403378</c:v>
                </c:pt>
                <c:pt idx="41">
                  <c:v>-100159.32708467625</c:v>
                </c:pt>
                <c:pt idx="42">
                  <c:v>-100188.5</c:v>
                </c:pt>
                <c:pt idx="43">
                  <c:v>-100216.23831650434</c:v>
                </c:pt>
                <c:pt idx="44">
                  <c:v>-100242.33092885182</c:v>
                </c:pt>
                <c:pt idx="45">
                  <c:v>-100266.57925650734</c:v>
                </c:pt>
                <c:pt idx="46">
                  <c:v>-100288.79875505586</c:v>
                </c:pt>
                <c:pt idx="47">
                  <c:v>-100308.82032069695</c:v>
                </c:pt>
                <c:pt idx="48">
                  <c:v>-100326.49157722673</c:v>
                </c:pt>
                <c:pt idx="49">
                  <c:v>-100341.67803571282</c:v>
                </c:pt>
                <c:pt idx="50">
                  <c:v>-100354.26411803628</c:v>
                </c:pt>
                <c:pt idx="51">
                  <c:v>-100364.15403651098</c:v>
                </c:pt>
                <c:pt idx="52">
                  <c:v>-100371.2725228856</c:v>
                </c:pt>
                <c:pt idx="53">
                  <c:v>-100375.56540118059</c:v>
                </c:pt>
                <c:pt idx="54">
                  <c:v>-100377</c:v>
                </c:pt>
                <c:pt idx="55">
                  <c:v>-100375.56540118059</c:v>
                </c:pt>
                <c:pt idx="56">
                  <c:v>-100371.2725228856</c:v>
                </c:pt>
                <c:pt idx="57">
                  <c:v>-100364.15403651098</c:v>
                </c:pt>
                <c:pt idx="58">
                  <c:v>-100354.26411803628</c:v>
                </c:pt>
                <c:pt idx="59">
                  <c:v>-100341.67803571282</c:v>
                </c:pt>
                <c:pt idx="60">
                  <c:v>-100326.49157722673</c:v>
                </c:pt>
                <c:pt idx="61">
                  <c:v>-100308.82032069695</c:v>
                </c:pt>
                <c:pt idx="62">
                  <c:v>-100288.79875505586</c:v>
                </c:pt>
                <c:pt idx="63">
                  <c:v>-100266.57925650734</c:v>
                </c:pt>
                <c:pt idx="64">
                  <c:v>-100242.33092885182</c:v>
                </c:pt>
                <c:pt idx="65">
                  <c:v>-100216.23831650434</c:v>
                </c:pt>
                <c:pt idx="66">
                  <c:v>-100188.5</c:v>
                </c:pt>
                <c:pt idx="67">
                  <c:v>-100159.32708467625</c:v>
                </c:pt>
                <c:pt idx="68">
                  <c:v>-100128.94159403378</c:v>
                </c:pt>
                <c:pt idx="69">
                  <c:v>-100097.57478000365</c:v>
                </c:pt>
                <c:pt idx="70">
                  <c:v>-100065.46536298044</c:v>
                </c:pt>
                <c:pt idx="71">
                  <c:v>-100032.85771501587</c:v>
                </c:pt>
                <c:pt idx="72">
                  <c:v>-100000</c:v>
                </c:pt>
              </c:numCache>
            </c:numRef>
          </c:yVal>
          <c:smooth val="0"/>
          <c:extLst>
            <c:ext xmlns:c16="http://schemas.microsoft.com/office/drawing/2014/chart" uri="{C3380CC4-5D6E-409C-BE32-E72D297353CC}">
              <c16:uniqueId val="{0000001A-1673-41D7-A5FC-7E26F328539E}"/>
            </c:ext>
          </c:extLst>
        </c:ser>
        <c:ser>
          <c:idx val="24"/>
          <c:order val="24"/>
          <c:tx>
            <c:v>3_F</c:v>
          </c:tx>
          <c:spPr>
            <a:ln>
              <a:solidFill>
                <a:srgbClr val="00B050"/>
              </a:solidFill>
            </a:ln>
          </c:spPr>
          <c:marker>
            <c:symbol val="none"/>
          </c:marker>
          <c:xVal>
            <c:numRef>
              <c:f>('Background calcs'!$P$120,'Background calcs'!$P$88,'Background calcs'!$P$90,'Background calcs'!$P$69,'Background calcs'!$P$65,'Background calcs'!$P$88,'Background calcs'!$P$75,'Background calcs'!$P$73,'Background calcs'!$P$69,'Background calcs'!$P$73,'Background calcs'!$P$85)</c:f>
              <c:numCache>
                <c:formatCode>General</c:formatCode>
                <c:ptCount val="11"/>
                <c:pt idx="0">
                  <c:v>-99786.595327419811</c:v>
                </c:pt>
                <c:pt idx="1">
                  <c:v>-99684.661582522851</c:v>
                </c:pt>
                <c:pt idx="2">
                  <c:v>-99588.660723975932</c:v>
                </c:pt>
                <c:pt idx="3">
                  <c:v>-99588.660723975932</c:v>
                </c:pt>
                <c:pt idx="4">
                  <c:v>-100000</c:v>
                </c:pt>
                <c:pt idx="5">
                  <c:v>-99684.661582522851</c:v>
                </c:pt>
                <c:pt idx="6">
                  <c:v>-99138.660723975932</c:v>
                </c:pt>
                <c:pt idx="7">
                  <c:v>-99093.707932766032</c:v>
                </c:pt>
                <c:pt idx="8">
                  <c:v>-99588.660723975932</c:v>
                </c:pt>
                <c:pt idx="9">
                  <c:v>-99093.707932766032</c:v>
                </c:pt>
                <c:pt idx="10">
                  <c:v>-98854.168555825017</c:v>
                </c:pt>
              </c:numCache>
            </c:numRef>
          </c:xVal>
          <c:yVal>
            <c:numRef>
              <c:f>('Background calcs'!$P$121,'Background calcs'!$P$87,'Background calcs'!$P$91,'Background calcs'!$P$70,'Background calcs'!$P$66,'Background calcs'!$P$87,'Background calcs'!$P$76,'Background calcs'!$P$74,'Background calcs'!$P$70,'Background calcs'!$P$74,'Background calcs'!$P$81)</c:f>
              <c:numCache>
                <c:formatCode>General</c:formatCode>
                <c:ptCount val="11"/>
                <c:pt idx="0">
                  <c:v>-99341.962909268026</c:v>
                </c:pt>
                <c:pt idx="1">
                  <c:v>-99638</c:v>
                </c:pt>
                <c:pt idx="2">
                  <c:v>-99916.806737658175</c:v>
                </c:pt>
                <c:pt idx="3">
                  <c:v>-100055</c:v>
                </c:pt>
                <c:pt idx="4">
                  <c:v>-100000</c:v>
                </c:pt>
                <c:pt idx="5">
                  <c:v>-99638</c:v>
                </c:pt>
                <c:pt idx="6">
                  <c:v>-99432</c:v>
                </c:pt>
                <c:pt idx="7">
                  <c:v>-99543.262062548019</c:v>
                </c:pt>
                <c:pt idx="8">
                  <c:v>-100055</c:v>
                </c:pt>
                <c:pt idx="9">
                  <c:v>-99543.262062548019</c:v>
                </c:pt>
                <c:pt idx="10">
                  <c:v>-100000</c:v>
                </c:pt>
              </c:numCache>
            </c:numRef>
          </c:yVal>
          <c:smooth val="0"/>
          <c:extLst>
            <c:ext xmlns:c16="http://schemas.microsoft.com/office/drawing/2014/chart" uri="{C3380CC4-5D6E-409C-BE32-E72D297353CC}">
              <c16:uniqueId val="{0000001C-1673-41D7-A5FC-7E26F328539E}"/>
            </c:ext>
          </c:extLst>
        </c:ser>
        <c:ser>
          <c:idx val="25"/>
          <c:order val="25"/>
          <c:tx>
            <c:v>3_S</c:v>
          </c:tx>
          <c:spPr>
            <a:ln>
              <a:solidFill>
                <a:srgbClr val="00B050"/>
              </a:solidFill>
            </a:ln>
          </c:spPr>
          <c:marker>
            <c:symbol val="none"/>
          </c:marker>
          <c:xVal>
            <c:numRef>
              <c:f>('Background calcs'!$P$116,'Background calcs'!$P$118)</c:f>
              <c:numCache>
                <c:formatCode>General</c:formatCode>
                <c:ptCount val="2"/>
                <c:pt idx="0">
                  <c:v>-99678.595327419811</c:v>
                </c:pt>
                <c:pt idx="1">
                  <c:v>-99858.595327419811</c:v>
                </c:pt>
              </c:numCache>
            </c:numRef>
          </c:xVal>
          <c:yVal>
            <c:numRef>
              <c:f>('Background calcs'!$P$117,'Background calcs'!$P$119)</c:f>
              <c:numCache>
                <c:formatCode>General</c:formatCode>
                <c:ptCount val="2"/>
                <c:pt idx="0">
                  <c:v>-99341.962909268026</c:v>
                </c:pt>
                <c:pt idx="1">
                  <c:v>-99341.962909268026</c:v>
                </c:pt>
              </c:numCache>
            </c:numRef>
          </c:yVal>
          <c:smooth val="0"/>
          <c:extLst>
            <c:ext xmlns:c16="http://schemas.microsoft.com/office/drawing/2014/chart" uri="{C3380CC4-5D6E-409C-BE32-E72D297353CC}">
              <c16:uniqueId val="{0000001D-1673-41D7-A5FC-7E26F328539E}"/>
            </c:ext>
          </c:extLst>
        </c:ser>
        <c:ser>
          <c:idx val="26"/>
          <c:order val="26"/>
          <c:tx>
            <c:v>3_C</c:v>
          </c:tx>
          <c:spPr>
            <a:ln>
              <a:solidFill>
                <a:srgbClr val="00B050"/>
              </a:solidFill>
            </a:ln>
          </c:spPr>
          <c:marker>
            <c:symbol val="none"/>
          </c:marker>
          <c:xVal>
            <c:numRef>
              <c:f>('Background calcs'!$P$77,'Background calcs'!$P$94,'Background calcs'!$P$97,'Background calcs'!$P$100,'Background calcs'!$P$106)</c:f>
              <c:numCache>
                <c:formatCode>General</c:formatCode>
                <c:ptCount val="5"/>
                <c:pt idx="0">
                  <c:v>-99138.660723975932</c:v>
                </c:pt>
                <c:pt idx="1">
                  <c:v>-99155.51802067965</c:v>
                </c:pt>
                <c:pt idx="2">
                  <c:v>-99113.79474722415</c:v>
                </c:pt>
                <c:pt idx="3">
                  <c:v>-99113.79474722415</c:v>
                </c:pt>
                <c:pt idx="4">
                  <c:v>-99140.709654840524</c:v>
                </c:pt>
              </c:numCache>
            </c:numRef>
          </c:xVal>
          <c:yVal>
            <c:numRef>
              <c:f>('Background calcs'!$P$78,'Background calcs'!$P$95,'Background calcs'!$P$98,'Background calcs'!$P$101,'Background calcs'!$P$107)</c:f>
              <c:numCache>
                <c:formatCode>General</c:formatCode>
                <c:ptCount val="5"/>
                <c:pt idx="0">
                  <c:v>-99432</c:v>
                </c:pt>
                <c:pt idx="1">
                  <c:v>-99390.2767265445</c:v>
                </c:pt>
                <c:pt idx="2">
                  <c:v>-99373.419429840782</c:v>
                </c:pt>
                <c:pt idx="3">
                  <c:v>-99361.419429840782</c:v>
                </c:pt>
                <c:pt idx="4">
                  <c:v>-99343.33600569547</c:v>
                </c:pt>
              </c:numCache>
            </c:numRef>
          </c:yVal>
          <c:smooth val="0"/>
          <c:extLst>
            <c:ext xmlns:c16="http://schemas.microsoft.com/office/drawing/2014/chart" uri="{C3380CC4-5D6E-409C-BE32-E72D297353CC}">
              <c16:uniqueId val="{0000001E-1673-41D7-A5FC-7E26F328539E}"/>
            </c:ext>
          </c:extLst>
        </c:ser>
        <c:ser>
          <c:idx val="27"/>
          <c:order val="27"/>
          <c:tx>
            <c:v>3_P</c:v>
          </c:tx>
          <c:spPr>
            <a:ln>
              <a:solidFill>
                <a:srgbClr val="00B050"/>
              </a:solidFill>
            </a:ln>
          </c:spPr>
          <c:marker>
            <c:symbol val="none"/>
          </c:marker>
          <c:xVal>
            <c:numRef>
              <c:f>('Background calcs'!$P$71,'Background calcs'!$P$108,'Background calcs'!$P$110,'Background calcs'!$P$112)</c:f>
              <c:numCache>
                <c:formatCode>General</c:formatCode>
                <c:ptCount val="4"/>
                <c:pt idx="0">
                  <c:v>-99588.660723975932</c:v>
                </c:pt>
                <c:pt idx="1">
                  <c:v>-99588.660723975932</c:v>
                </c:pt>
                <c:pt idx="2">
                  <c:v>-99538.660723975932</c:v>
                </c:pt>
                <c:pt idx="3">
                  <c:v>-99638.660723975932</c:v>
                </c:pt>
              </c:numCache>
            </c:numRef>
          </c:xVal>
          <c:yVal>
            <c:numRef>
              <c:f>('Background calcs'!$P$72,'Background calcs'!$P$109,'Background calcs'!$P$111,'Background calcs'!$P$113)</c:f>
              <c:numCache>
                <c:formatCode>General</c:formatCode>
                <c:ptCount val="4"/>
                <c:pt idx="0">
                  <c:v>-100055</c:v>
                </c:pt>
                <c:pt idx="1">
                  <c:v>-100220</c:v>
                </c:pt>
                <c:pt idx="2">
                  <c:v>-100220</c:v>
                </c:pt>
                <c:pt idx="3">
                  <c:v>-100220</c:v>
                </c:pt>
              </c:numCache>
            </c:numRef>
          </c:yVal>
          <c:smooth val="0"/>
          <c:extLst>
            <c:ext xmlns:c16="http://schemas.microsoft.com/office/drawing/2014/chart" uri="{C3380CC4-5D6E-409C-BE32-E72D297353CC}">
              <c16:uniqueId val="{0000001F-1673-41D7-A5FC-7E26F328539E}"/>
            </c:ext>
          </c:extLst>
        </c:ser>
        <c:ser>
          <c:idx val="28"/>
          <c:order val="28"/>
          <c:tx>
            <c:v>3_r</c:v>
          </c:tx>
          <c:spPr>
            <a:ln>
              <a:solidFill>
                <a:srgbClr val="00B050"/>
              </a:solidFill>
            </a:ln>
          </c:spPr>
          <c:marker>
            <c:symbol val="none"/>
          </c:marker>
          <c:xVal>
            <c:numRef>
              <c:f>'Background calcs'!$P$155:$P$227</c:f>
              <c:numCache>
                <c:formatCode>General</c:formatCode>
                <c:ptCount val="73"/>
                <c:pt idx="0">
                  <c:v>-99637</c:v>
                </c:pt>
                <c:pt idx="1">
                  <c:v>-99638.381324592701</c:v>
                </c:pt>
                <c:pt idx="2">
                  <c:v>-99642.514785656575</c:v>
                </c:pt>
                <c:pt idx="3">
                  <c:v>-99649.368925057075</c:v>
                </c:pt>
                <c:pt idx="4">
                  <c:v>-99658.891578654715</c:v>
                </c:pt>
                <c:pt idx="5">
                  <c:v>-99671.010273305699</c:v>
                </c:pt>
                <c:pt idx="6">
                  <c:v>-99685.632778426254</c:v>
                </c:pt>
                <c:pt idx="7">
                  <c:v>-99702.647807923102</c:v>
                </c:pt>
                <c:pt idx="8">
                  <c:v>-99721.925867147816</c:v>
                </c:pt>
                <c:pt idx="9">
                  <c:v>-99743.320238429282</c:v>
                </c:pt>
                <c:pt idx="10">
                  <c:v>-99766.668097683782</c:v>
                </c:pt>
                <c:pt idx="11">
                  <c:v>-99791.791753604572</c:v>
                </c:pt>
                <c:pt idx="12">
                  <c:v>-99818.5</c:v>
                </c:pt>
                <c:pt idx="13">
                  <c:v>-99846.58957098813</c:v>
                </c:pt>
                <c:pt idx="14">
                  <c:v>-99875.846687972778</c:v>
                </c:pt>
                <c:pt idx="15">
                  <c:v>-99906.048686627779</c:v>
                </c:pt>
                <c:pt idx="16">
                  <c:v>-99936.965711506899</c:v>
                </c:pt>
                <c:pt idx="17">
                  <c:v>-99968.362465382597</c:v>
                </c:pt>
                <c:pt idx="18">
                  <c:v>-100000</c:v>
                </c:pt>
                <c:pt idx="19">
                  <c:v>-100031.6375346174</c:v>
                </c:pt>
                <c:pt idx="20">
                  <c:v>-100063.0342884931</c:v>
                </c:pt>
                <c:pt idx="21">
                  <c:v>-100093.95131337222</c:v>
                </c:pt>
                <c:pt idx="22">
                  <c:v>-100124.15331202722</c:v>
                </c:pt>
                <c:pt idx="23">
                  <c:v>-100153.41042901187</c:v>
                </c:pt>
                <c:pt idx="24">
                  <c:v>-100181.5</c:v>
                </c:pt>
                <c:pt idx="25">
                  <c:v>-100208.20824639543</c:v>
                </c:pt>
                <c:pt idx="26">
                  <c:v>-100233.33190231622</c:v>
                </c:pt>
                <c:pt idx="27">
                  <c:v>-100256.67976157072</c:v>
                </c:pt>
                <c:pt idx="28">
                  <c:v>-100278.07413285218</c:v>
                </c:pt>
                <c:pt idx="29">
                  <c:v>-100297.3521920769</c:v>
                </c:pt>
                <c:pt idx="30">
                  <c:v>-100314.36722157375</c:v>
                </c:pt>
                <c:pt idx="31">
                  <c:v>-100328.9897266943</c:v>
                </c:pt>
                <c:pt idx="32">
                  <c:v>-100341.10842134529</c:v>
                </c:pt>
                <c:pt idx="33">
                  <c:v>-100350.63107494292</c:v>
                </c:pt>
                <c:pt idx="34">
                  <c:v>-100357.48521434343</c:v>
                </c:pt>
                <c:pt idx="35">
                  <c:v>-100361.6186754073</c:v>
                </c:pt>
                <c:pt idx="36">
                  <c:v>-100363</c:v>
                </c:pt>
                <c:pt idx="37">
                  <c:v>-100361.6186754073</c:v>
                </c:pt>
                <c:pt idx="38">
                  <c:v>-100357.48521434343</c:v>
                </c:pt>
                <c:pt idx="39">
                  <c:v>-100350.63107494292</c:v>
                </c:pt>
                <c:pt idx="40">
                  <c:v>-100341.10842134529</c:v>
                </c:pt>
                <c:pt idx="41">
                  <c:v>-100328.9897266943</c:v>
                </c:pt>
                <c:pt idx="42">
                  <c:v>-100314.36722157375</c:v>
                </c:pt>
                <c:pt idx="43">
                  <c:v>-100297.3521920769</c:v>
                </c:pt>
                <c:pt idx="44">
                  <c:v>-100278.07413285218</c:v>
                </c:pt>
                <c:pt idx="45">
                  <c:v>-100256.67976157072</c:v>
                </c:pt>
                <c:pt idx="46">
                  <c:v>-100233.33190231622</c:v>
                </c:pt>
                <c:pt idx="47">
                  <c:v>-100208.20824639543</c:v>
                </c:pt>
                <c:pt idx="48">
                  <c:v>-100181.5</c:v>
                </c:pt>
                <c:pt idx="49">
                  <c:v>-100153.41042901187</c:v>
                </c:pt>
                <c:pt idx="50">
                  <c:v>-100124.15331202722</c:v>
                </c:pt>
                <c:pt idx="51">
                  <c:v>-100093.95131337222</c:v>
                </c:pt>
                <c:pt idx="52">
                  <c:v>-100063.0342884931</c:v>
                </c:pt>
                <c:pt idx="53">
                  <c:v>-100031.6375346174</c:v>
                </c:pt>
                <c:pt idx="54">
                  <c:v>-100000</c:v>
                </c:pt>
                <c:pt idx="55">
                  <c:v>-99968.362465382597</c:v>
                </c:pt>
                <c:pt idx="56">
                  <c:v>-99936.965711506899</c:v>
                </c:pt>
                <c:pt idx="57">
                  <c:v>-99906.048686627779</c:v>
                </c:pt>
                <c:pt idx="58">
                  <c:v>-99875.846687972778</c:v>
                </c:pt>
                <c:pt idx="59">
                  <c:v>-99846.58957098813</c:v>
                </c:pt>
                <c:pt idx="60">
                  <c:v>-99818.5</c:v>
                </c:pt>
                <c:pt idx="61">
                  <c:v>-99791.791753604572</c:v>
                </c:pt>
                <c:pt idx="62">
                  <c:v>-99766.668097683782</c:v>
                </c:pt>
                <c:pt idx="63">
                  <c:v>-99743.320238429282</c:v>
                </c:pt>
                <c:pt idx="64">
                  <c:v>-99721.925867147816</c:v>
                </c:pt>
                <c:pt idx="65">
                  <c:v>-99702.647807923102</c:v>
                </c:pt>
                <c:pt idx="66">
                  <c:v>-99685.632778426254</c:v>
                </c:pt>
                <c:pt idx="67">
                  <c:v>-99671.010273305699</c:v>
                </c:pt>
                <c:pt idx="68">
                  <c:v>-99658.891578654715</c:v>
                </c:pt>
                <c:pt idx="69">
                  <c:v>-99649.368925057075</c:v>
                </c:pt>
                <c:pt idx="70">
                  <c:v>-99642.514785656575</c:v>
                </c:pt>
                <c:pt idx="71">
                  <c:v>-99638.381324592701</c:v>
                </c:pt>
                <c:pt idx="72">
                  <c:v>-99637</c:v>
                </c:pt>
              </c:numCache>
            </c:numRef>
          </c:xVal>
          <c:yVal>
            <c:numRef>
              <c:f>'Background calcs'!$P$229:$P$301</c:f>
              <c:numCache>
                <c:formatCode>General</c:formatCode>
                <c:ptCount val="73"/>
                <c:pt idx="0">
                  <c:v>-100000</c:v>
                </c:pt>
                <c:pt idx="1">
                  <c:v>-99968.362465382597</c:v>
                </c:pt>
                <c:pt idx="2">
                  <c:v>-99936.965711506899</c:v>
                </c:pt>
                <c:pt idx="3">
                  <c:v>-99906.048686627779</c:v>
                </c:pt>
                <c:pt idx="4">
                  <c:v>-99875.846687972778</c:v>
                </c:pt>
                <c:pt idx="5">
                  <c:v>-99846.58957098813</c:v>
                </c:pt>
                <c:pt idx="6">
                  <c:v>-99818.5</c:v>
                </c:pt>
                <c:pt idx="7">
                  <c:v>-99791.791753604572</c:v>
                </c:pt>
                <c:pt idx="8">
                  <c:v>-99766.668097683782</c:v>
                </c:pt>
                <c:pt idx="9">
                  <c:v>-99743.320238429282</c:v>
                </c:pt>
                <c:pt idx="10">
                  <c:v>-99721.925867147816</c:v>
                </c:pt>
                <c:pt idx="11">
                  <c:v>-99702.647807923102</c:v>
                </c:pt>
                <c:pt idx="12">
                  <c:v>-99685.632778426254</c:v>
                </c:pt>
                <c:pt idx="13">
                  <c:v>-99671.010273305699</c:v>
                </c:pt>
                <c:pt idx="14">
                  <c:v>-99658.891578654715</c:v>
                </c:pt>
                <c:pt idx="15">
                  <c:v>-99649.368925057075</c:v>
                </c:pt>
                <c:pt idx="16">
                  <c:v>-99642.514785656575</c:v>
                </c:pt>
                <c:pt idx="17">
                  <c:v>-99638.381324592701</c:v>
                </c:pt>
                <c:pt idx="18">
                  <c:v>-99637</c:v>
                </c:pt>
                <c:pt idx="19">
                  <c:v>-99638.381324592701</c:v>
                </c:pt>
                <c:pt idx="20">
                  <c:v>-99642.514785656575</c:v>
                </c:pt>
                <c:pt idx="21">
                  <c:v>-99649.368925057075</c:v>
                </c:pt>
                <c:pt idx="22">
                  <c:v>-99658.891578654715</c:v>
                </c:pt>
                <c:pt idx="23">
                  <c:v>-99671.010273305699</c:v>
                </c:pt>
                <c:pt idx="24">
                  <c:v>-99685.632778426254</c:v>
                </c:pt>
                <c:pt idx="25">
                  <c:v>-99702.647807923102</c:v>
                </c:pt>
                <c:pt idx="26">
                  <c:v>-99721.925867147816</c:v>
                </c:pt>
                <c:pt idx="27">
                  <c:v>-99743.320238429282</c:v>
                </c:pt>
                <c:pt idx="28">
                  <c:v>-99766.668097683782</c:v>
                </c:pt>
                <c:pt idx="29">
                  <c:v>-99791.791753604572</c:v>
                </c:pt>
                <c:pt idx="30">
                  <c:v>-99818.5</c:v>
                </c:pt>
                <c:pt idx="31">
                  <c:v>-99846.58957098813</c:v>
                </c:pt>
                <c:pt idx="32">
                  <c:v>-99875.846687972778</c:v>
                </c:pt>
                <c:pt idx="33">
                  <c:v>-99906.048686627779</c:v>
                </c:pt>
                <c:pt idx="34">
                  <c:v>-99936.965711506899</c:v>
                </c:pt>
                <c:pt idx="35">
                  <c:v>-99968.362465382597</c:v>
                </c:pt>
                <c:pt idx="36">
                  <c:v>-100000</c:v>
                </c:pt>
                <c:pt idx="37">
                  <c:v>-100031.6375346174</c:v>
                </c:pt>
                <c:pt idx="38">
                  <c:v>-100063.0342884931</c:v>
                </c:pt>
                <c:pt idx="39">
                  <c:v>-100093.95131337222</c:v>
                </c:pt>
                <c:pt idx="40">
                  <c:v>-100124.15331202722</c:v>
                </c:pt>
                <c:pt idx="41">
                  <c:v>-100153.41042901187</c:v>
                </c:pt>
                <c:pt idx="42">
                  <c:v>-100181.5</c:v>
                </c:pt>
                <c:pt idx="43">
                  <c:v>-100208.20824639543</c:v>
                </c:pt>
                <c:pt idx="44">
                  <c:v>-100233.33190231622</c:v>
                </c:pt>
                <c:pt idx="45">
                  <c:v>-100256.67976157072</c:v>
                </c:pt>
                <c:pt idx="46">
                  <c:v>-100278.07413285218</c:v>
                </c:pt>
                <c:pt idx="47">
                  <c:v>-100297.3521920769</c:v>
                </c:pt>
                <c:pt idx="48">
                  <c:v>-100314.36722157375</c:v>
                </c:pt>
                <c:pt idx="49">
                  <c:v>-100328.9897266943</c:v>
                </c:pt>
                <c:pt idx="50">
                  <c:v>-100341.10842134529</c:v>
                </c:pt>
                <c:pt idx="51">
                  <c:v>-100350.63107494292</c:v>
                </c:pt>
                <c:pt idx="52">
                  <c:v>-100357.48521434343</c:v>
                </c:pt>
                <c:pt idx="53">
                  <c:v>-100361.6186754073</c:v>
                </c:pt>
                <c:pt idx="54">
                  <c:v>-100363</c:v>
                </c:pt>
                <c:pt idx="55">
                  <c:v>-100361.6186754073</c:v>
                </c:pt>
                <c:pt idx="56">
                  <c:v>-100357.48521434343</c:v>
                </c:pt>
                <c:pt idx="57">
                  <c:v>-100350.63107494292</c:v>
                </c:pt>
                <c:pt idx="58">
                  <c:v>-100341.10842134529</c:v>
                </c:pt>
                <c:pt idx="59">
                  <c:v>-100328.9897266943</c:v>
                </c:pt>
                <c:pt idx="60">
                  <c:v>-100314.36722157375</c:v>
                </c:pt>
                <c:pt idx="61">
                  <c:v>-100297.3521920769</c:v>
                </c:pt>
                <c:pt idx="62">
                  <c:v>-100278.07413285218</c:v>
                </c:pt>
                <c:pt idx="63">
                  <c:v>-100256.67976157072</c:v>
                </c:pt>
                <c:pt idx="64">
                  <c:v>-100233.33190231622</c:v>
                </c:pt>
                <c:pt idx="65">
                  <c:v>-100208.20824639543</c:v>
                </c:pt>
                <c:pt idx="66">
                  <c:v>-100181.5</c:v>
                </c:pt>
                <c:pt idx="67">
                  <c:v>-100153.41042901187</c:v>
                </c:pt>
                <c:pt idx="68">
                  <c:v>-100124.15331202722</c:v>
                </c:pt>
                <c:pt idx="69">
                  <c:v>-100093.95131337222</c:v>
                </c:pt>
                <c:pt idx="70">
                  <c:v>-100063.0342884931</c:v>
                </c:pt>
                <c:pt idx="71">
                  <c:v>-100031.6375346174</c:v>
                </c:pt>
                <c:pt idx="72">
                  <c:v>-100000</c:v>
                </c:pt>
              </c:numCache>
            </c:numRef>
          </c:yVal>
          <c:smooth val="0"/>
          <c:extLst>
            <c:ext xmlns:c16="http://schemas.microsoft.com/office/drawing/2014/chart" uri="{C3380CC4-5D6E-409C-BE32-E72D297353CC}">
              <c16:uniqueId val="{00000020-1673-41D7-A5FC-7E26F328539E}"/>
            </c:ext>
          </c:extLst>
        </c:ser>
        <c:ser>
          <c:idx val="29"/>
          <c:order val="29"/>
          <c:tx>
            <c:v>3_f</c:v>
          </c:tx>
          <c:spPr>
            <a:ln>
              <a:solidFill>
                <a:srgbClr val="00B050"/>
              </a:solidFill>
            </a:ln>
          </c:spPr>
          <c:marker>
            <c:symbol val="none"/>
          </c:marker>
          <c:xVal>
            <c:numRef>
              <c:f>'Background calcs'!$P$304:$P$376</c:f>
              <c:numCache>
                <c:formatCode>General</c:formatCode>
                <c:ptCount val="73"/>
                <c:pt idx="0">
                  <c:v>-98491.168555825017</c:v>
                </c:pt>
                <c:pt idx="1">
                  <c:v>-98492.549880417719</c:v>
                </c:pt>
                <c:pt idx="2">
                  <c:v>-98496.683341481592</c:v>
                </c:pt>
                <c:pt idx="3">
                  <c:v>-98503.537480882092</c:v>
                </c:pt>
                <c:pt idx="4">
                  <c:v>-98513.060134479732</c:v>
                </c:pt>
                <c:pt idx="5">
                  <c:v>-98525.178829130717</c:v>
                </c:pt>
                <c:pt idx="6">
                  <c:v>-98539.801334251271</c:v>
                </c:pt>
                <c:pt idx="7">
                  <c:v>-98556.816363748119</c:v>
                </c:pt>
                <c:pt idx="8">
                  <c:v>-98576.094422972834</c:v>
                </c:pt>
                <c:pt idx="9">
                  <c:v>-98597.488794254299</c:v>
                </c:pt>
                <c:pt idx="10">
                  <c:v>-98620.836653508799</c:v>
                </c:pt>
                <c:pt idx="11">
                  <c:v>-98645.960309429589</c:v>
                </c:pt>
                <c:pt idx="12">
                  <c:v>-98672.668555825017</c:v>
                </c:pt>
                <c:pt idx="13">
                  <c:v>-98700.758126813147</c:v>
                </c:pt>
                <c:pt idx="14">
                  <c:v>-98730.015243797796</c:v>
                </c:pt>
                <c:pt idx="15">
                  <c:v>-98760.217242452796</c:v>
                </c:pt>
                <c:pt idx="16">
                  <c:v>-98791.134267331916</c:v>
                </c:pt>
                <c:pt idx="17">
                  <c:v>-98822.531021207615</c:v>
                </c:pt>
                <c:pt idx="18">
                  <c:v>-98854.168555825017</c:v>
                </c:pt>
                <c:pt idx="19">
                  <c:v>-98885.80609044242</c:v>
                </c:pt>
                <c:pt idx="20">
                  <c:v>-98917.202844318119</c:v>
                </c:pt>
                <c:pt idx="21">
                  <c:v>-98948.119869197239</c:v>
                </c:pt>
                <c:pt idx="22">
                  <c:v>-98978.321867852239</c:v>
                </c:pt>
                <c:pt idx="23">
                  <c:v>-99007.578984836888</c:v>
                </c:pt>
                <c:pt idx="24">
                  <c:v>-99035.668555825017</c:v>
                </c:pt>
                <c:pt idx="25">
                  <c:v>-99062.376802220446</c:v>
                </c:pt>
                <c:pt idx="26">
                  <c:v>-99087.500458141236</c:v>
                </c:pt>
                <c:pt idx="27">
                  <c:v>-99110.848317395736</c:v>
                </c:pt>
                <c:pt idx="28">
                  <c:v>-99132.242688677201</c:v>
                </c:pt>
                <c:pt idx="29">
                  <c:v>-99151.520747901915</c:v>
                </c:pt>
                <c:pt idx="30">
                  <c:v>-99168.535777398763</c:v>
                </c:pt>
                <c:pt idx="31">
                  <c:v>-99183.158282519318</c:v>
                </c:pt>
                <c:pt idx="32">
                  <c:v>-99195.276977170302</c:v>
                </c:pt>
                <c:pt idx="33">
                  <c:v>-99204.799630767942</c:v>
                </c:pt>
                <c:pt idx="34">
                  <c:v>-99211.653770168443</c:v>
                </c:pt>
                <c:pt idx="35">
                  <c:v>-99215.787231232316</c:v>
                </c:pt>
                <c:pt idx="36">
                  <c:v>-99217.168555825017</c:v>
                </c:pt>
                <c:pt idx="37">
                  <c:v>-99215.787231232316</c:v>
                </c:pt>
                <c:pt idx="38">
                  <c:v>-99211.653770168443</c:v>
                </c:pt>
                <c:pt idx="39">
                  <c:v>-99204.799630767942</c:v>
                </c:pt>
                <c:pt idx="40">
                  <c:v>-99195.276977170302</c:v>
                </c:pt>
                <c:pt idx="41">
                  <c:v>-99183.158282519318</c:v>
                </c:pt>
                <c:pt idx="42">
                  <c:v>-99168.535777398763</c:v>
                </c:pt>
                <c:pt idx="43">
                  <c:v>-99151.520747901915</c:v>
                </c:pt>
                <c:pt idx="44">
                  <c:v>-99132.242688677201</c:v>
                </c:pt>
                <c:pt idx="45">
                  <c:v>-99110.848317395736</c:v>
                </c:pt>
                <c:pt idx="46">
                  <c:v>-99087.500458141236</c:v>
                </c:pt>
                <c:pt idx="47">
                  <c:v>-99062.376802220446</c:v>
                </c:pt>
                <c:pt idx="48">
                  <c:v>-99035.668555825017</c:v>
                </c:pt>
                <c:pt idx="49">
                  <c:v>-99007.578984836888</c:v>
                </c:pt>
                <c:pt idx="50">
                  <c:v>-98978.321867852239</c:v>
                </c:pt>
                <c:pt idx="51">
                  <c:v>-98948.119869197239</c:v>
                </c:pt>
                <c:pt idx="52">
                  <c:v>-98917.202844318119</c:v>
                </c:pt>
                <c:pt idx="53">
                  <c:v>-98885.80609044242</c:v>
                </c:pt>
                <c:pt idx="54">
                  <c:v>-98854.168555825017</c:v>
                </c:pt>
                <c:pt idx="55">
                  <c:v>-98822.531021207615</c:v>
                </c:pt>
                <c:pt idx="56">
                  <c:v>-98791.134267331916</c:v>
                </c:pt>
                <c:pt idx="57">
                  <c:v>-98760.217242452796</c:v>
                </c:pt>
                <c:pt idx="58">
                  <c:v>-98730.015243797796</c:v>
                </c:pt>
                <c:pt idx="59">
                  <c:v>-98700.758126813147</c:v>
                </c:pt>
                <c:pt idx="60">
                  <c:v>-98672.668555825017</c:v>
                </c:pt>
                <c:pt idx="61">
                  <c:v>-98645.960309429589</c:v>
                </c:pt>
                <c:pt idx="62">
                  <c:v>-98620.836653508799</c:v>
                </c:pt>
                <c:pt idx="63">
                  <c:v>-98597.488794254299</c:v>
                </c:pt>
                <c:pt idx="64">
                  <c:v>-98576.094422972834</c:v>
                </c:pt>
                <c:pt idx="65">
                  <c:v>-98556.816363748119</c:v>
                </c:pt>
                <c:pt idx="66">
                  <c:v>-98539.801334251271</c:v>
                </c:pt>
                <c:pt idx="67">
                  <c:v>-98525.178829130717</c:v>
                </c:pt>
                <c:pt idx="68">
                  <c:v>-98513.060134479732</c:v>
                </c:pt>
                <c:pt idx="69">
                  <c:v>-98503.537480882092</c:v>
                </c:pt>
                <c:pt idx="70">
                  <c:v>-98496.683341481592</c:v>
                </c:pt>
                <c:pt idx="71">
                  <c:v>-98492.549880417719</c:v>
                </c:pt>
                <c:pt idx="72">
                  <c:v>-98491.168555825017</c:v>
                </c:pt>
              </c:numCache>
            </c:numRef>
          </c:xVal>
          <c:yVal>
            <c:numRef>
              <c:f>'Background calcs'!$P$378:$P$450</c:f>
              <c:numCache>
                <c:formatCode>General</c:formatCode>
                <c:ptCount val="73"/>
                <c:pt idx="0">
                  <c:v>-100000</c:v>
                </c:pt>
                <c:pt idx="1">
                  <c:v>-99968.362465382597</c:v>
                </c:pt>
                <c:pt idx="2">
                  <c:v>-99936.965711506899</c:v>
                </c:pt>
                <c:pt idx="3">
                  <c:v>-99906.048686627779</c:v>
                </c:pt>
                <c:pt idx="4">
                  <c:v>-99875.846687972778</c:v>
                </c:pt>
                <c:pt idx="5">
                  <c:v>-99846.58957098813</c:v>
                </c:pt>
                <c:pt idx="6">
                  <c:v>-99818.5</c:v>
                </c:pt>
                <c:pt idx="7">
                  <c:v>-99791.791753604572</c:v>
                </c:pt>
                <c:pt idx="8">
                  <c:v>-99766.668097683782</c:v>
                </c:pt>
                <c:pt idx="9">
                  <c:v>-99743.320238429282</c:v>
                </c:pt>
                <c:pt idx="10">
                  <c:v>-99721.925867147816</c:v>
                </c:pt>
                <c:pt idx="11">
                  <c:v>-99702.647807923102</c:v>
                </c:pt>
                <c:pt idx="12">
                  <c:v>-99685.632778426254</c:v>
                </c:pt>
                <c:pt idx="13">
                  <c:v>-99671.010273305699</c:v>
                </c:pt>
                <c:pt idx="14">
                  <c:v>-99658.891578654715</c:v>
                </c:pt>
                <c:pt idx="15">
                  <c:v>-99649.368925057075</c:v>
                </c:pt>
                <c:pt idx="16">
                  <c:v>-99642.514785656575</c:v>
                </c:pt>
                <c:pt idx="17">
                  <c:v>-99638.381324592701</c:v>
                </c:pt>
                <c:pt idx="18">
                  <c:v>-99637</c:v>
                </c:pt>
                <c:pt idx="19">
                  <c:v>-99638.381324592701</c:v>
                </c:pt>
                <c:pt idx="20">
                  <c:v>-99642.514785656575</c:v>
                </c:pt>
                <c:pt idx="21">
                  <c:v>-99649.368925057075</c:v>
                </c:pt>
                <c:pt idx="22">
                  <c:v>-99658.891578654715</c:v>
                </c:pt>
                <c:pt idx="23">
                  <c:v>-99671.010273305699</c:v>
                </c:pt>
                <c:pt idx="24">
                  <c:v>-99685.632778426254</c:v>
                </c:pt>
                <c:pt idx="25">
                  <c:v>-99702.647807923102</c:v>
                </c:pt>
                <c:pt idx="26">
                  <c:v>-99721.925867147816</c:v>
                </c:pt>
                <c:pt idx="27">
                  <c:v>-99743.320238429282</c:v>
                </c:pt>
                <c:pt idx="28">
                  <c:v>-99766.668097683782</c:v>
                </c:pt>
                <c:pt idx="29">
                  <c:v>-99791.791753604572</c:v>
                </c:pt>
                <c:pt idx="30">
                  <c:v>-99818.5</c:v>
                </c:pt>
                <c:pt idx="31">
                  <c:v>-99846.58957098813</c:v>
                </c:pt>
                <c:pt idx="32">
                  <c:v>-99875.846687972778</c:v>
                </c:pt>
                <c:pt idx="33">
                  <c:v>-99906.048686627779</c:v>
                </c:pt>
                <c:pt idx="34">
                  <c:v>-99936.965711506899</c:v>
                </c:pt>
                <c:pt idx="35">
                  <c:v>-99968.362465382597</c:v>
                </c:pt>
                <c:pt idx="36">
                  <c:v>-100000</c:v>
                </c:pt>
                <c:pt idx="37">
                  <c:v>-100031.6375346174</c:v>
                </c:pt>
                <c:pt idx="38">
                  <c:v>-100063.0342884931</c:v>
                </c:pt>
                <c:pt idx="39">
                  <c:v>-100093.95131337222</c:v>
                </c:pt>
                <c:pt idx="40">
                  <c:v>-100124.15331202722</c:v>
                </c:pt>
                <c:pt idx="41">
                  <c:v>-100153.41042901187</c:v>
                </c:pt>
                <c:pt idx="42">
                  <c:v>-100181.5</c:v>
                </c:pt>
                <c:pt idx="43">
                  <c:v>-100208.20824639543</c:v>
                </c:pt>
                <c:pt idx="44">
                  <c:v>-100233.33190231622</c:v>
                </c:pt>
                <c:pt idx="45">
                  <c:v>-100256.67976157072</c:v>
                </c:pt>
                <c:pt idx="46">
                  <c:v>-100278.07413285218</c:v>
                </c:pt>
                <c:pt idx="47">
                  <c:v>-100297.3521920769</c:v>
                </c:pt>
                <c:pt idx="48">
                  <c:v>-100314.36722157375</c:v>
                </c:pt>
                <c:pt idx="49">
                  <c:v>-100328.9897266943</c:v>
                </c:pt>
                <c:pt idx="50">
                  <c:v>-100341.10842134529</c:v>
                </c:pt>
                <c:pt idx="51">
                  <c:v>-100350.63107494292</c:v>
                </c:pt>
                <c:pt idx="52">
                  <c:v>-100357.48521434343</c:v>
                </c:pt>
                <c:pt idx="53">
                  <c:v>-100361.6186754073</c:v>
                </c:pt>
                <c:pt idx="54">
                  <c:v>-100363</c:v>
                </c:pt>
                <c:pt idx="55">
                  <c:v>-100361.6186754073</c:v>
                </c:pt>
                <c:pt idx="56">
                  <c:v>-100357.48521434343</c:v>
                </c:pt>
                <c:pt idx="57">
                  <c:v>-100350.63107494292</c:v>
                </c:pt>
                <c:pt idx="58">
                  <c:v>-100341.10842134529</c:v>
                </c:pt>
                <c:pt idx="59">
                  <c:v>-100328.9897266943</c:v>
                </c:pt>
                <c:pt idx="60">
                  <c:v>-100314.36722157375</c:v>
                </c:pt>
                <c:pt idx="61">
                  <c:v>-100297.3521920769</c:v>
                </c:pt>
                <c:pt idx="62">
                  <c:v>-100278.07413285218</c:v>
                </c:pt>
                <c:pt idx="63">
                  <c:v>-100256.67976157072</c:v>
                </c:pt>
                <c:pt idx="64">
                  <c:v>-100233.33190231622</c:v>
                </c:pt>
                <c:pt idx="65">
                  <c:v>-100208.20824639543</c:v>
                </c:pt>
                <c:pt idx="66">
                  <c:v>-100181.5</c:v>
                </c:pt>
                <c:pt idx="67">
                  <c:v>-100153.41042901187</c:v>
                </c:pt>
                <c:pt idx="68">
                  <c:v>-100124.15331202722</c:v>
                </c:pt>
                <c:pt idx="69">
                  <c:v>-100093.95131337222</c:v>
                </c:pt>
                <c:pt idx="70">
                  <c:v>-100063.0342884931</c:v>
                </c:pt>
                <c:pt idx="71">
                  <c:v>-100031.6375346174</c:v>
                </c:pt>
                <c:pt idx="72">
                  <c:v>-100000</c:v>
                </c:pt>
              </c:numCache>
            </c:numRef>
          </c:yVal>
          <c:smooth val="0"/>
          <c:extLst>
            <c:ext xmlns:c16="http://schemas.microsoft.com/office/drawing/2014/chart" uri="{C3380CC4-5D6E-409C-BE32-E72D297353CC}">
              <c16:uniqueId val="{00000021-1673-41D7-A5FC-7E26F328539E}"/>
            </c:ext>
          </c:extLst>
        </c:ser>
        <c:ser>
          <c:idx val="30"/>
          <c:order val="30"/>
          <c:tx>
            <c:v>3m_F</c:v>
          </c:tx>
          <c:spPr>
            <a:ln>
              <a:solidFill>
                <a:srgbClr val="80D8A8">
                  <a:alpha val="50000"/>
                </a:srgbClr>
              </a:solidFill>
            </a:ln>
          </c:spPr>
          <c:marker>
            <c:symbol val="none"/>
          </c:marker>
          <c:xVal>
            <c:numRef>
              <c:f>('Background calcs'!$R$120,'Background calcs'!$R$88,'Background calcs'!$R$90,'Background calcs'!$R$69,'Background calcs'!$R$65,'Background calcs'!$R$88,'Background calcs'!$R$75,'Background calcs'!$R$73,'Background calcs'!$R$69,'Background calcs'!$R$73,'Background calcs'!$R$85)</c:f>
              <c:numCache>
                <c:formatCode>General</c:formatCode>
                <c:ptCount val="11"/>
                <c:pt idx="0">
                  <c:v>-99799.854588674614</c:v>
                </c:pt>
                <c:pt idx="1">
                  <c:v>-99691.995706602494</c:v>
                </c:pt>
                <c:pt idx="2">
                  <c:v>-99590.41457376664</c:v>
                </c:pt>
                <c:pt idx="3">
                  <c:v>-99587.639058602668</c:v>
                </c:pt>
                <c:pt idx="4">
                  <c:v>-100000</c:v>
                </c:pt>
                <c:pt idx="5">
                  <c:v>-99691.995706602494</c:v>
                </c:pt>
                <c:pt idx="6">
                  <c:v>-99153.131618108193</c:v>
                </c:pt>
                <c:pt idx="7">
                  <c:v>-99103.064003376145</c:v>
                </c:pt>
                <c:pt idx="8">
                  <c:v>-99587.639058602668</c:v>
                </c:pt>
                <c:pt idx="9">
                  <c:v>-99103.064003376145</c:v>
                </c:pt>
                <c:pt idx="10">
                  <c:v>-98834.315492558453</c:v>
                </c:pt>
              </c:numCache>
            </c:numRef>
          </c:xVal>
          <c:yVal>
            <c:numRef>
              <c:f>('Background calcs'!$R$121,'Background calcs'!$R$87,'Background calcs'!$R$91,'Background calcs'!$R$70,'Background calcs'!$R$66,'Background calcs'!$R$87,'Background calcs'!$R$76,'Background calcs'!$R$74,'Background calcs'!$R$70,'Background calcs'!$R$74,'Background calcs'!$R$81)</c:f>
              <c:numCache>
                <c:formatCode>General</c:formatCode>
                <c:ptCount val="11"/>
                <c:pt idx="0">
                  <c:v>-99337.809558070003</c:v>
                </c:pt>
                <c:pt idx="1">
                  <c:v>-99631.739667102607</c:v>
                </c:pt>
                <c:pt idx="2">
                  <c:v>-99908.562056473718</c:v>
                </c:pt>
                <c:pt idx="3">
                  <c:v>-100046.72744386234</c:v>
                </c:pt>
                <c:pt idx="4">
                  <c:v>-100000</c:v>
                </c:pt>
                <c:pt idx="5">
                  <c:v>-99631.739667102607</c:v>
                </c:pt>
                <c:pt idx="6">
                  <c:v>-99416.050581847012</c:v>
                </c:pt>
                <c:pt idx="7">
                  <c:v>-99525.151947882812</c:v>
                </c:pt>
                <c:pt idx="8">
                  <c:v>-100046.72744386234</c:v>
                </c:pt>
                <c:pt idx="9">
                  <c:v>-99525.151947882812</c:v>
                </c:pt>
                <c:pt idx="10">
                  <c:v>-99988.5</c:v>
                </c:pt>
              </c:numCache>
            </c:numRef>
          </c:yVal>
          <c:smooth val="0"/>
          <c:extLst>
            <c:ext xmlns:c16="http://schemas.microsoft.com/office/drawing/2014/chart" uri="{C3380CC4-5D6E-409C-BE32-E72D297353CC}">
              <c16:uniqueId val="{00000022-1673-41D7-A5FC-7E26F328539E}"/>
            </c:ext>
          </c:extLst>
        </c:ser>
        <c:ser>
          <c:idx val="31"/>
          <c:order val="31"/>
          <c:tx>
            <c:v>3m_S</c:v>
          </c:tx>
          <c:spPr>
            <a:ln>
              <a:solidFill>
                <a:srgbClr val="80D8A8">
                  <a:alpha val="50000"/>
                </a:srgbClr>
              </a:solidFill>
            </a:ln>
          </c:spPr>
          <c:marker>
            <c:symbol val="none"/>
          </c:marker>
          <c:xVal>
            <c:numRef>
              <c:f>('Background calcs'!$R$116,'Background calcs'!$R$118)</c:f>
              <c:numCache>
                <c:formatCode>General</c:formatCode>
                <c:ptCount val="2"/>
                <c:pt idx="0">
                  <c:v>-99691.854588674614</c:v>
                </c:pt>
                <c:pt idx="1">
                  <c:v>-99871.854588674614</c:v>
                </c:pt>
              </c:numCache>
            </c:numRef>
          </c:xVal>
          <c:yVal>
            <c:numRef>
              <c:f>('Background calcs'!$R$117,'Background calcs'!$R$119)</c:f>
              <c:numCache>
                <c:formatCode>General</c:formatCode>
                <c:ptCount val="2"/>
                <c:pt idx="0">
                  <c:v>-99337.809558070003</c:v>
                </c:pt>
                <c:pt idx="1">
                  <c:v>-99337.809558070003</c:v>
                </c:pt>
              </c:numCache>
            </c:numRef>
          </c:yVal>
          <c:smooth val="0"/>
          <c:extLst>
            <c:ext xmlns:c16="http://schemas.microsoft.com/office/drawing/2014/chart" uri="{C3380CC4-5D6E-409C-BE32-E72D297353CC}">
              <c16:uniqueId val="{00000023-1673-41D7-A5FC-7E26F328539E}"/>
            </c:ext>
          </c:extLst>
        </c:ser>
        <c:ser>
          <c:idx val="32"/>
          <c:order val="32"/>
          <c:tx>
            <c:v>3m_C</c:v>
          </c:tx>
          <c:spPr>
            <a:ln>
              <a:solidFill>
                <a:srgbClr val="80D8A8">
                  <a:alpha val="50000"/>
                </a:srgbClr>
              </a:solidFill>
            </a:ln>
          </c:spPr>
          <c:marker>
            <c:symbol val="none"/>
          </c:marker>
          <c:xVal>
            <c:numRef>
              <c:f>('Background calcs'!$R$77,'Background calcs'!$R$94,'Background calcs'!$R$97,'Background calcs'!$R$100,'Background calcs'!$R$106)</c:f>
              <c:numCache>
                <c:formatCode>General</c:formatCode>
                <c:ptCount val="5"/>
                <c:pt idx="0">
                  <c:v>-99153.131618108193</c:v>
                </c:pt>
                <c:pt idx="1">
                  <c:v>-99171.900539787312</c:v>
                </c:pt>
                <c:pt idx="2">
                  <c:v>-99131.001547391366</c:v>
                </c:pt>
                <c:pt idx="3">
                  <c:v>-99131.001547391366</c:v>
                </c:pt>
                <c:pt idx="4">
                  <c:v>-99157.91645500774</c:v>
                </c:pt>
              </c:numCache>
            </c:numRef>
          </c:xVal>
          <c:yVal>
            <c:numRef>
              <c:f>('Background calcs'!$R$78,'Background calcs'!$R$95,'Background calcs'!$R$98,'Background calcs'!$R$101,'Background calcs'!$R$107)</c:f>
              <c:numCache>
                <c:formatCode>General</c:formatCode>
                <c:ptCount val="5"/>
                <c:pt idx="0">
                  <c:v>-99416.050581847012</c:v>
                </c:pt>
                <c:pt idx="1">
                  <c:v>-99375.151589451067</c:v>
                </c:pt>
                <c:pt idx="2">
                  <c:v>-99356.382667771963</c:v>
                </c:pt>
                <c:pt idx="3">
                  <c:v>-99344.382667771963</c:v>
                </c:pt>
                <c:pt idx="4">
                  <c:v>-99326.299243626665</c:v>
                </c:pt>
              </c:numCache>
            </c:numRef>
          </c:yVal>
          <c:smooth val="0"/>
          <c:extLst>
            <c:ext xmlns:c16="http://schemas.microsoft.com/office/drawing/2014/chart" uri="{C3380CC4-5D6E-409C-BE32-E72D297353CC}">
              <c16:uniqueId val="{00000024-1673-41D7-A5FC-7E26F328539E}"/>
            </c:ext>
          </c:extLst>
        </c:ser>
        <c:ser>
          <c:idx val="33"/>
          <c:order val="33"/>
          <c:tx>
            <c:v>3m_P</c:v>
          </c:tx>
          <c:spPr>
            <a:ln>
              <a:solidFill>
                <a:srgbClr val="80D8A8">
                  <a:alpha val="50000"/>
                </a:srgbClr>
              </a:solidFill>
            </a:ln>
          </c:spPr>
          <c:marker>
            <c:symbol val="none"/>
          </c:marker>
          <c:xVal>
            <c:numRef>
              <c:f>('Background calcs'!$R$71,'Background calcs'!$R$108,'Background calcs'!$R$110,'Background calcs'!$R$112)</c:f>
              <c:numCache>
                <c:formatCode>General</c:formatCode>
                <c:ptCount val="4"/>
                <c:pt idx="0">
                  <c:v>-99587.639058602668</c:v>
                </c:pt>
                <c:pt idx="1">
                  <c:v>-99587.639058602668</c:v>
                </c:pt>
                <c:pt idx="2">
                  <c:v>-99537.639058602668</c:v>
                </c:pt>
                <c:pt idx="3">
                  <c:v>-99637.639058602668</c:v>
                </c:pt>
              </c:numCache>
            </c:numRef>
          </c:xVal>
          <c:yVal>
            <c:numRef>
              <c:f>('Background calcs'!$R$72,'Background calcs'!$R$109,'Background calcs'!$R$111,'Background calcs'!$R$113)</c:f>
              <c:numCache>
                <c:formatCode>General</c:formatCode>
                <c:ptCount val="4"/>
                <c:pt idx="0">
                  <c:v>-100046.72744386234</c:v>
                </c:pt>
                <c:pt idx="1">
                  <c:v>-100211.72744386234</c:v>
                </c:pt>
                <c:pt idx="2">
                  <c:v>-100211.72744386234</c:v>
                </c:pt>
                <c:pt idx="3">
                  <c:v>-100211.72744386234</c:v>
                </c:pt>
              </c:numCache>
            </c:numRef>
          </c:yVal>
          <c:smooth val="0"/>
          <c:extLst>
            <c:ext xmlns:c16="http://schemas.microsoft.com/office/drawing/2014/chart" uri="{C3380CC4-5D6E-409C-BE32-E72D297353CC}">
              <c16:uniqueId val="{00000025-1673-41D7-A5FC-7E26F328539E}"/>
            </c:ext>
          </c:extLst>
        </c:ser>
        <c:ser>
          <c:idx val="34"/>
          <c:order val="34"/>
          <c:tx>
            <c:v>3m_r</c:v>
          </c:tx>
          <c:spPr>
            <a:ln>
              <a:solidFill>
                <a:srgbClr val="80D8A8">
                  <a:alpha val="50000"/>
                </a:srgbClr>
              </a:solidFill>
            </a:ln>
          </c:spPr>
          <c:marker>
            <c:symbol val="none"/>
          </c:marker>
          <c:xVal>
            <c:numRef>
              <c:f>'Background calcs'!$R$155:$R$227</c:f>
              <c:numCache>
                <c:formatCode>General</c:formatCode>
                <c:ptCount val="73"/>
                <c:pt idx="0">
                  <c:v>-99637</c:v>
                </c:pt>
                <c:pt idx="1">
                  <c:v>-99638.381324592701</c:v>
                </c:pt>
                <c:pt idx="2">
                  <c:v>-99642.514785656575</c:v>
                </c:pt>
                <c:pt idx="3">
                  <c:v>-99649.368925057075</c:v>
                </c:pt>
                <c:pt idx="4">
                  <c:v>-99658.891578654715</c:v>
                </c:pt>
                <c:pt idx="5">
                  <c:v>-99671.010273305699</c:v>
                </c:pt>
                <c:pt idx="6">
                  <c:v>-99685.632778426254</c:v>
                </c:pt>
                <c:pt idx="7">
                  <c:v>-99702.647807923102</c:v>
                </c:pt>
                <c:pt idx="8">
                  <c:v>-99721.925867147816</c:v>
                </c:pt>
                <c:pt idx="9">
                  <c:v>-99743.320238429282</c:v>
                </c:pt>
                <c:pt idx="10">
                  <c:v>-99766.668097683782</c:v>
                </c:pt>
                <c:pt idx="11">
                  <c:v>-99791.791753604572</c:v>
                </c:pt>
                <c:pt idx="12">
                  <c:v>-99818.5</c:v>
                </c:pt>
                <c:pt idx="13">
                  <c:v>-99846.58957098813</c:v>
                </c:pt>
                <c:pt idx="14">
                  <c:v>-99875.846687972778</c:v>
                </c:pt>
                <c:pt idx="15">
                  <c:v>-99906.048686627779</c:v>
                </c:pt>
                <c:pt idx="16">
                  <c:v>-99936.965711506899</c:v>
                </c:pt>
                <c:pt idx="17">
                  <c:v>-99968.362465382597</c:v>
                </c:pt>
                <c:pt idx="18">
                  <c:v>-100000</c:v>
                </c:pt>
                <c:pt idx="19">
                  <c:v>-100031.6375346174</c:v>
                </c:pt>
                <c:pt idx="20">
                  <c:v>-100063.0342884931</c:v>
                </c:pt>
                <c:pt idx="21">
                  <c:v>-100093.95131337222</c:v>
                </c:pt>
                <c:pt idx="22">
                  <c:v>-100124.15331202722</c:v>
                </c:pt>
                <c:pt idx="23">
                  <c:v>-100153.41042901187</c:v>
                </c:pt>
                <c:pt idx="24">
                  <c:v>-100181.5</c:v>
                </c:pt>
                <c:pt idx="25">
                  <c:v>-100208.20824639543</c:v>
                </c:pt>
                <c:pt idx="26">
                  <c:v>-100233.33190231622</c:v>
                </c:pt>
                <c:pt idx="27">
                  <c:v>-100256.67976157072</c:v>
                </c:pt>
                <c:pt idx="28">
                  <c:v>-100278.07413285218</c:v>
                </c:pt>
                <c:pt idx="29">
                  <c:v>-100297.3521920769</c:v>
                </c:pt>
                <c:pt idx="30">
                  <c:v>-100314.36722157375</c:v>
                </c:pt>
                <c:pt idx="31">
                  <c:v>-100328.9897266943</c:v>
                </c:pt>
                <c:pt idx="32">
                  <c:v>-100341.10842134529</c:v>
                </c:pt>
                <c:pt idx="33">
                  <c:v>-100350.63107494292</c:v>
                </c:pt>
                <c:pt idx="34">
                  <c:v>-100357.48521434343</c:v>
                </c:pt>
                <c:pt idx="35">
                  <c:v>-100361.6186754073</c:v>
                </c:pt>
                <c:pt idx="36">
                  <c:v>-100363</c:v>
                </c:pt>
                <c:pt idx="37">
                  <c:v>-100361.6186754073</c:v>
                </c:pt>
                <c:pt idx="38">
                  <c:v>-100357.48521434343</c:v>
                </c:pt>
                <c:pt idx="39">
                  <c:v>-100350.63107494292</c:v>
                </c:pt>
                <c:pt idx="40">
                  <c:v>-100341.10842134529</c:v>
                </c:pt>
                <c:pt idx="41">
                  <c:v>-100328.9897266943</c:v>
                </c:pt>
                <c:pt idx="42">
                  <c:v>-100314.36722157375</c:v>
                </c:pt>
                <c:pt idx="43">
                  <c:v>-100297.3521920769</c:v>
                </c:pt>
                <c:pt idx="44">
                  <c:v>-100278.07413285218</c:v>
                </c:pt>
                <c:pt idx="45">
                  <c:v>-100256.67976157072</c:v>
                </c:pt>
                <c:pt idx="46">
                  <c:v>-100233.33190231622</c:v>
                </c:pt>
                <c:pt idx="47">
                  <c:v>-100208.20824639543</c:v>
                </c:pt>
                <c:pt idx="48">
                  <c:v>-100181.5</c:v>
                </c:pt>
                <c:pt idx="49">
                  <c:v>-100153.41042901187</c:v>
                </c:pt>
                <c:pt idx="50">
                  <c:v>-100124.15331202722</c:v>
                </c:pt>
                <c:pt idx="51">
                  <c:v>-100093.95131337222</c:v>
                </c:pt>
                <c:pt idx="52">
                  <c:v>-100063.0342884931</c:v>
                </c:pt>
                <c:pt idx="53">
                  <c:v>-100031.6375346174</c:v>
                </c:pt>
                <c:pt idx="54">
                  <c:v>-100000</c:v>
                </c:pt>
                <c:pt idx="55">
                  <c:v>-99968.362465382597</c:v>
                </c:pt>
                <c:pt idx="56">
                  <c:v>-99936.965711506899</c:v>
                </c:pt>
                <c:pt idx="57">
                  <c:v>-99906.048686627779</c:v>
                </c:pt>
                <c:pt idx="58">
                  <c:v>-99875.846687972778</c:v>
                </c:pt>
                <c:pt idx="59">
                  <c:v>-99846.58957098813</c:v>
                </c:pt>
                <c:pt idx="60">
                  <c:v>-99818.5</c:v>
                </c:pt>
                <c:pt idx="61">
                  <c:v>-99791.791753604572</c:v>
                </c:pt>
                <c:pt idx="62">
                  <c:v>-99766.668097683782</c:v>
                </c:pt>
                <c:pt idx="63">
                  <c:v>-99743.320238429282</c:v>
                </c:pt>
                <c:pt idx="64">
                  <c:v>-99721.925867147816</c:v>
                </c:pt>
                <c:pt idx="65">
                  <c:v>-99702.647807923102</c:v>
                </c:pt>
                <c:pt idx="66">
                  <c:v>-99685.632778426254</c:v>
                </c:pt>
                <c:pt idx="67">
                  <c:v>-99671.010273305699</c:v>
                </c:pt>
                <c:pt idx="68">
                  <c:v>-99658.891578654715</c:v>
                </c:pt>
                <c:pt idx="69">
                  <c:v>-99649.368925057075</c:v>
                </c:pt>
                <c:pt idx="70">
                  <c:v>-99642.514785656575</c:v>
                </c:pt>
                <c:pt idx="71">
                  <c:v>-99638.381324592701</c:v>
                </c:pt>
                <c:pt idx="72">
                  <c:v>-99637</c:v>
                </c:pt>
              </c:numCache>
            </c:numRef>
          </c:xVal>
          <c:yVal>
            <c:numRef>
              <c:f>'Background calcs'!$R$229:$R$301</c:f>
              <c:numCache>
                <c:formatCode>General</c:formatCode>
                <c:ptCount val="73"/>
                <c:pt idx="0">
                  <c:v>-100000</c:v>
                </c:pt>
                <c:pt idx="1">
                  <c:v>-99968.362465382597</c:v>
                </c:pt>
                <c:pt idx="2">
                  <c:v>-99936.965711506899</c:v>
                </c:pt>
                <c:pt idx="3">
                  <c:v>-99906.048686627779</c:v>
                </c:pt>
                <c:pt idx="4">
                  <c:v>-99875.846687972778</c:v>
                </c:pt>
                <c:pt idx="5">
                  <c:v>-99846.58957098813</c:v>
                </c:pt>
                <c:pt idx="6">
                  <c:v>-99818.5</c:v>
                </c:pt>
                <c:pt idx="7">
                  <c:v>-99791.791753604572</c:v>
                </c:pt>
                <c:pt idx="8">
                  <c:v>-99766.668097683782</c:v>
                </c:pt>
                <c:pt idx="9">
                  <c:v>-99743.320238429282</c:v>
                </c:pt>
                <c:pt idx="10">
                  <c:v>-99721.925867147816</c:v>
                </c:pt>
                <c:pt idx="11">
                  <c:v>-99702.647807923102</c:v>
                </c:pt>
                <c:pt idx="12">
                  <c:v>-99685.632778426254</c:v>
                </c:pt>
                <c:pt idx="13">
                  <c:v>-99671.010273305699</c:v>
                </c:pt>
                <c:pt idx="14">
                  <c:v>-99658.891578654715</c:v>
                </c:pt>
                <c:pt idx="15">
                  <c:v>-99649.368925057075</c:v>
                </c:pt>
                <c:pt idx="16">
                  <c:v>-99642.514785656575</c:v>
                </c:pt>
                <c:pt idx="17">
                  <c:v>-99638.381324592701</c:v>
                </c:pt>
                <c:pt idx="18">
                  <c:v>-99637</c:v>
                </c:pt>
                <c:pt idx="19">
                  <c:v>-99638.381324592701</c:v>
                </c:pt>
                <c:pt idx="20">
                  <c:v>-99642.514785656575</c:v>
                </c:pt>
                <c:pt idx="21">
                  <c:v>-99649.368925057075</c:v>
                </c:pt>
                <c:pt idx="22">
                  <c:v>-99658.891578654715</c:v>
                </c:pt>
                <c:pt idx="23">
                  <c:v>-99671.010273305699</c:v>
                </c:pt>
                <c:pt idx="24">
                  <c:v>-99685.632778426254</c:v>
                </c:pt>
                <c:pt idx="25">
                  <c:v>-99702.647807923102</c:v>
                </c:pt>
                <c:pt idx="26">
                  <c:v>-99721.925867147816</c:v>
                </c:pt>
                <c:pt idx="27">
                  <c:v>-99743.320238429282</c:v>
                </c:pt>
                <c:pt idx="28">
                  <c:v>-99766.668097683782</c:v>
                </c:pt>
                <c:pt idx="29">
                  <c:v>-99791.791753604572</c:v>
                </c:pt>
                <c:pt idx="30">
                  <c:v>-99818.5</c:v>
                </c:pt>
                <c:pt idx="31">
                  <c:v>-99846.58957098813</c:v>
                </c:pt>
                <c:pt idx="32">
                  <c:v>-99875.846687972778</c:v>
                </c:pt>
                <c:pt idx="33">
                  <c:v>-99906.048686627779</c:v>
                </c:pt>
                <c:pt idx="34">
                  <c:v>-99936.965711506899</c:v>
                </c:pt>
                <c:pt idx="35">
                  <c:v>-99968.362465382597</c:v>
                </c:pt>
                <c:pt idx="36">
                  <c:v>-100000</c:v>
                </c:pt>
                <c:pt idx="37">
                  <c:v>-100031.6375346174</c:v>
                </c:pt>
                <c:pt idx="38">
                  <c:v>-100063.0342884931</c:v>
                </c:pt>
                <c:pt idx="39">
                  <c:v>-100093.95131337222</c:v>
                </c:pt>
                <c:pt idx="40">
                  <c:v>-100124.15331202722</c:v>
                </c:pt>
                <c:pt idx="41">
                  <c:v>-100153.41042901187</c:v>
                </c:pt>
                <c:pt idx="42">
                  <c:v>-100181.5</c:v>
                </c:pt>
                <c:pt idx="43">
                  <c:v>-100208.20824639543</c:v>
                </c:pt>
                <c:pt idx="44">
                  <c:v>-100233.33190231622</c:v>
                </c:pt>
                <c:pt idx="45">
                  <c:v>-100256.67976157072</c:v>
                </c:pt>
                <c:pt idx="46">
                  <c:v>-100278.07413285218</c:v>
                </c:pt>
                <c:pt idx="47">
                  <c:v>-100297.3521920769</c:v>
                </c:pt>
                <c:pt idx="48">
                  <c:v>-100314.36722157375</c:v>
                </c:pt>
                <c:pt idx="49">
                  <c:v>-100328.9897266943</c:v>
                </c:pt>
                <c:pt idx="50">
                  <c:v>-100341.10842134529</c:v>
                </c:pt>
                <c:pt idx="51">
                  <c:v>-100350.63107494292</c:v>
                </c:pt>
                <c:pt idx="52">
                  <c:v>-100357.48521434343</c:v>
                </c:pt>
                <c:pt idx="53">
                  <c:v>-100361.6186754073</c:v>
                </c:pt>
                <c:pt idx="54">
                  <c:v>-100363</c:v>
                </c:pt>
                <c:pt idx="55">
                  <c:v>-100361.6186754073</c:v>
                </c:pt>
                <c:pt idx="56">
                  <c:v>-100357.48521434343</c:v>
                </c:pt>
                <c:pt idx="57">
                  <c:v>-100350.63107494292</c:v>
                </c:pt>
                <c:pt idx="58">
                  <c:v>-100341.10842134529</c:v>
                </c:pt>
                <c:pt idx="59">
                  <c:v>-100328.9897266943</c:v>
                </c:pt>
                <c:pt idx="60">
                  <c:v>-100314.36722157375</c:v>
                </c:pt>
                <c:pt idx="61">
                  <c:v>-100297.3521920769</c:v>
                </c:pt>
                <c:pt idx="62">
                  <c:v>-100278.07413285218</c:v>
                </c:pt>
                <c:pt idx="63">
                  <c:v>-100256.67976157072</c:v>
                </c:pt>
                <c:pt idx="64">
                  <c:v>-100233.33190231622</c:v>
                </c:pt>
                <c:pt idx="65">
                  <c:v>-100208.20824639543</c:v>
                </c:pt>
                <c:pt idx="66">
                  <c:v>-100181.5</c:v>
                </c:pt>
                <c:pt idx="67">
                  <c:v>-100153.41042901187</c:v>
                </c:pt>
                <c:pt idx="68">
                  <c:v>-100124.15331202722</c:v>
                </c:pt>
                <c:pt idx="69">
                  <c:v>-100093.95131337222</c:v>
                </c:pt>
                <c:pt idx="70">
                  <c:v>-100063.0342884931</c:v>
                </c:pt>
                <c:pt idx="71">
                  <c:v>-100031.6375346174</c:v>
                </c:pt>
                <c:pt idx="72">
                  <c:v>-100000</c:v>
                </c:pt>
              </c:numCache>
            </c:numRef>
          </c:yVal>
          <c:smooth val="0"/>
          <c:extLst>
            <c:ext xmlns:c16="http://schemas.microsoft.com/office/drawing/2014/chart" uri="{C3380CC4-5D6E-409C-BE32-E72D297353CC}">
              <c16:uniqueId val="{00000026-1673-41D7-A5FC-7E26F328539E}"/>
            </c:ext>
          </c:extLst>
        </c:ser>
        <c:ser>
          <c:idx val="35"/>
          <c:order val="35"/>
          <c:tx>
            <c:v>3m_f</c:v>
          </c:tx>
          <c:spPr>
            <a:ln>
              <a:solidFill>
                <a:srgbClr val="80D8A8">
                  <a:alpha val="50000"/>
                </a:srgbClr>
              </a:solidFill>
            </a:ln>
          </c:spPr>
          <c:marker>
            <c:symbol val="none"/>
          </c:marker>
          <c:xVal>
            <c:numRef>
              <c:f>'Background calcs'!$R$304:$R$376</c:f>
              <c:numCache>
                <c:formatCode>General</c:formatCode>
                <c:ptCount val="73"/>
                <c:pt idx="0">
                  <c:v>-98459.815492558453</c:v>
                </c:pt>
                <c:pt idx="1">
                  <c:v>-98461.240578123092</c:v>
                </c:pt>
                <c:pt idx="2">
                  <c:v>-98465.504989055378</c:v>
                </c:pt>
                <c:pt idx="3">
                  <c:v>-98472.576270613194</c:v>
                </c:pt>
                <c:pt idx="4">
                  <c:v>-98482.400606074138</c:v>
                </c:pt>
                <c:pt idx="5">
                  <c:v>-98494.903226313225</c:v>
                </c:pt>
                <c:pt idx="6">
                  <c:v>-98509.988978841182</c:v>
                </c:pt>
                <c:pt idx="7">
                  <c:v>-98527.543051972229</c:v>
                </c:pt>
                <c:pt idx="8">
                  <c:v>-98547.431848610402</c:v>
                </c:pt>
                <c:pt idx="9">
                  <c:v>-98569.504003004098</c:v>
                </c:pt>
                <c:pt idx="10">
                  <c:v>-98593.591532730847</c:v>
                </c:pt>
                <c:pt idx="11">
                  <c:v>-98619.511117144983</c:v>
                </c:pt>
                <c:pt idx="12">
                  <c:v>-98647.065492558453</c:v>
                </c:pt>
                <c:pt idx="13">
                  <c:v>-98676.044953536562</c:v>
                </c:pt>
                <c:pt idx="14">
                  <c:v>-98706.228948882985</c:v>
                </c:pt>
                <c:pt idx="15">
                  <c:v>-98737.387760167563</c:v>
                </c:pt>
                <c:pt idx="16">
                  <c:v>-98769.284250022189</c:v>
                </c:pt>
                <c:pt idx="17">
                  <c:v>-98801.675666899449</c:v>
                </c:pt>
                <c:pt idx="18">
                  <c:v>-98834.315492558453</c:v>
                </c:pt>
                <c:pt idx="19">
                  <c:v>-98866.955318217457</c:v>
                </c:pt>
                <c:pt idx="20">
                  <c:v>-98899.346735094718</c:v>
                </c:pt>
                <c:pt idx="21">
                  <c:v>-98931.243224949343</c:v>
                </c:pt>
                <c:pt idx="22">
                  <c:v>-98962.402036233922</c:v>
                </c:pt>
                <c:pt idx="23">
                  <c:v>-98992.586031580344</c:v>
                </c:pt>
                <c:pt idx="24">
                  <c:v>-99021.565492558453</c:v>
                </c:pt>
                <c:pt idx="25">
                  <c:v>-99049.119867971924</c:v>
                </c:pt>
                <c:pt idx="26">
                  <c:v>-99075.03945238606</c:v>
                </c:pt>
                <c:pt idx="27">
                  <c:v>-99099.126982112808</c:v>
                </c:pt>
                <c:pt idx="28">
                  <c:v>-99121.199136506504</c:v>
                </c:pt>
                <c:pt idx="29">
                  <c:v>-99141.087933144678</c:v>
                </c:pt>
                <c:pt idx="30">
                  <c:v>-99158.642006275724</c:v>
                </c:pt>
                <c:pt idx="31">
                  <c:v>-99173.727758803681</c:v>
                </c:pt>
                <c:pt idx="32">
                  <c:v>-99186.230379042769</c:v>
                </c:pt>
                <c:pt idx="33">
                  <c:v>-99196.054714503713</c:v>
                </c:pt>
                <c:pt idx="34">
                  <c:v>-99203.125996061528</c:v>
                </c:pt>
                <c:pt idx="35">
                  <c:v>-99207.390406993814</c:v>
                </c:pt>
                <c:pt idx="36">
                  <c:v>-99208.815492558453</c:v>
                </c:pt>
                <c:pt idx="37">
                  <c:v>-99207.390406993814</c:v>
                </c:pt>
                <c:pt idx="38">
                  <c:v>-99203.125996061528</c:v>
                </c:pt>
                <c:pt idx="39">
                  <c:v>-99196.054714503713</c:v>
                </c:pt>
                <c:pt idx="40">
                  <c:v>-99186.230379042769</c:v>
                </c:pt>
                <c:pt idx="41">
                  <c:v>-99173.727758803681</c:v>
                </c:pt>
                <c:pt idx="42">
                  <c:v>-99158.642006275724</c:v>
                </c:pt>
                <c:pt idx="43">
                  <c:v>-99141.087933144678</c:v>
                </c:pt>
                <c:pt idx="44">
                  <c:v>-99121.199136506504</c:v>
                </c:pt>
                <c:pt idx="45">
                  <c:v>-99099.126982112808</c:v>
                </c:pt>
                <c:pt idx="46">
                  <c:v>-99075.03945238606</c:v>
                </c:pt>
                <c:pt idx="47">
                  <c:v>-99049.119867971924</c:v>
                </c:pt>
                <c:pt idx="48">
                  <c:v>-99021.565492558453</c:v>
                </c:pt>
                <c:pt idx="49">
                  <c:v>-98992.586031580344</c:v>
                </c:pt>
                <c:pt idx="50">
                  <c:v>-98962.402036233922</c:v>
                </c:pt>
                <c:pt idx="51">
                  <c:v>-98931.243224949343</c:v>
                </c:pt>
                <c:pt idx="52">
                  <c:v>-98899.346735094718</c:v>
                </c:pt>
                <c:pt idx="53">
                  <c:v>-98866.955318217457</c:v>
                </c:pt>
                <c:pt idx="54">
                  <c:v>-98834.315492558453</c:v>
                </c:pt>
                <c:pt idx="55">
                  <c:v>-98801.675666899449</c:v>
                </c:pt>
                <c:pt idx="56">
                  <c:v>-98769.284250022189</c:v>
                </c:pt>
                <c:pt idx="57">
                  <c:v>-98737.387760167563</c:v>
                </c:pt>
                <c:pt idx="58">
                  <c:v>-98706.228948882985</c:v>
                </c:pt>
                <c:pt idx="59">
                  <c:v>-98676.044953536562</c:v>
                </c:pt>
                <c:pt idx="60">
                  <c:v>-98647.065492558453</c:v>
                </c:pt>
                <c:pt idx="61">
                  <c:v>-98619.511117144983</c:v>
                </c:pt>
                <c:pt idx="62">
                  <c:v>-98593.591532730847</c:v>
                </c:pt>
                <c:pt idx="63">
                  <c:v>-98569.504003004098</c:v>
                </c:pt>
                <c:pt idx="64">
                  <c:v>-98547.431848610402</c:v>
                </c:pt>
                <c:pt idx="65">
                  <c:v>-98527.543051972229</c:v>
                </c:pt>
                <c:pt idx="66">
                  <c:v>-98509.988978841182</c:v>
                </c:pt>
                <c:pt idx="67">
                  <c:v>-98494.903226313225</c:v>
                </c:pt>
                <c:pt idx="68">
                  <c:v>-98482.400606074138</c:v>
                </c:pt>
                <c:pt idx="69">
                  <c:v>-98472.576270613194</c:v>
                </c:pt>
                <c:pt idx="70">
                  <c:v>-98465.504989055378</c:v>
                </c:pt>
                <c:pt idx="71">
                  <c:v>-98461.240578123092</c:v>
                </c:pt>
                <c:pt idx="72">
                  <c:v>-98459.815492558453</c:v>
                </c:pt>
              </c:numCache>
            </c:numRef>
          </c:xVal>
          <c:yVal>
            <c:numRef>
              <c:f>'Background calcs'!$R$378:$R$450</c:f>
              <c:numCache>
                <c:formatCode>General</c:formatCode>
                <c:ptCount val="73"/>
                <c:pt idx="0">
                  <c:v>-99988.5</c:v>
                </c:pt>
                <c:pt idx="1">
                  <c:v>-99955.860174340996</c:v>
                </c:pt>
                <c:pt idx="2">
                  <c:v>-99923.468757463736</c:v>
                </c:pt>
                <c:pt idx="3">
                  <c:v>-99891.57226760911</c:v>
                </c:pt>
                <c:pt idx="4">
                  <c:v>-99860.413456324532</c:v>
                </c:pt>
                <c:pt idx="5">
                  <c:v>-99830.229460978109</c:v>
                </c:pt>
                <c:pt idx="6">
                  <c:v>-99801.25</c:v>
                </c:pt>
                <c:pt idx="7">
                  <c:v>-99773.695624586529</c:v>
                </c:pt>
                <c:pt idx="8">
                  <c:v>-99747.776040172394</c:v>
                </c:pt>
                <c:pt idx="9">
                  <c:v>-99723.688510445645</c:v>
                </c:pt>
                <c:pt idx="10">
                  <c:v>-99701.616356051949</c:v>
                </c:pt>
                <c:pt idx="11">
                  <c:v>-99681.727559413775</c:v>
                </c:pt>
                <c:pt idx="12">
                  <c:v>-99664.173486282729</c:v>
                </c:pt>
                <c:pt idx="13">
                  <c:v>-99649.087733754772</c:v>
                </c:pt>
                <c:pt idx="14">
                  <c:v>-99636.585113515684</c:v>
                </c:pt>
                <c:pt idx="15">
                  <c:v>-99626.760778054741</c:v>
                </c:pt>
                <c:pt idx="16">
                  <c:v>-99619.689496496925</c:v>
                </c:pt>
                <c:pt idx="17">
                  <c:v>-99615.425085564639</c:v>
                </c:pt>
                <c:pt idx="18">
                  <c:v>-99614</c:v>
                </c:pt>
                <c:pt idx="19">
                  <c:v>-99615.425085564639</c:v>
                </c:pt>
                <c:pt idx="20">
                  <c:v>-99619.689496496925</c:v>
                </c:pt>
                <c:pt idx="21">
                  <c:v>-99626.760778054741</c:v>
                </c:pt>
                <c:pt idx="22">
                  <c:v>-99636.585113515684</c:v>
                </c:pt>
                <c:pt idx="23">
                  <c:v>-99649.087733754772</c:v>
                </c:pt>
                <c:pt idx="24">
                  <c:v>-99664.173486282729</c:v>
                </c:pt>
                <c:pt idx="25">
                  <c:v>-99681.727559413775</c:v>
                </c:pt>
                <c:pt idx="26">
                  <c:v>-99701.616356051949</c:v>
                </c:pt>
                <c:pt idx="27">
                  <c:v>-99723.688510445645</c:v>
                </c:pt>
                <c:pt idx="28">
                  <c:v>-99747.776040172394</c:v>
                </c:pt>
                <c:pt idx="29">
                  <c:v>-99773.695624586529</c:v>
                </c:pt>
                <c:pt idx="30">
                  <c:v>-99801.25</c:v>
                </c:pt>
                <c:pt idx="31">
                  <c:v>-99830.229460978109</c:v>
                </c:pt>
                <c:pt idx="32">
                  <c:v>-99860.413456324532</c:v>
                </c:pt>
                <c:pt idx="33">
                  <c:v>-99891.57226760911</c:v>
                </c:pt>
                <c:pt idx="34">
                  <c:v>-99923.468757463736</c:v>
                </c:pt>
                <c:pt idx="35">
                  <c:v>-99955.860174340996</c:v>
                </c:pt>
                <c:pt idx="36">
                  <c:v>-99988.5</c:v>
                </c:pt>
                <c:pt idx="37">
                  <c:v>-100021.139825659</c:v>
                </c:pt>
                <c:pt idx="38">
                  <c:v>-100053.53124253626</c:v>
                </c:pt>
                <c:pt idx="39">
                  <c:v>-100085.42773239089</c:v>
                </c:pt>
                <c:pt idx="40">
                  <c:v>-100116.58654367547</c:v>
                </c:pt>
                <c:pt idx="41">
                  <c:v>-100146.77053902189</c:v>
                </c:pt>
                <c:pt idx="42">
                  <c:v>-100175.75</c:v>
                </c:pt>
                <c:pt idx="43">
                  <c:v>-100203.30437541347</c:v>
                </c:pt>
                <c:pt idx="44">
                  <c:v>-100229.22395982761</c:v>
                </c:pt>
                <c:pt idx="45">
                  <c:v>-100253.31148955435</c:v>
                </c:pt>
                <c:pt idx="46">
                  <c:v>-100275.38364394805</c:v>
                </c:pt>
                <c:pt idx="47">
                  <c:v>-100295.27244058622</c:v>
                </c:pt>
                <c:pt idx="48">
                  <c:v>-100312.82651371727</c:v>
                </c:pt>
                <c:pt idx="49">
                  <c:v>-100327.91226624523</c:v>
                </c:pt>
                <c:pt idx="50">
                  <c:v>-100340.41488648432</c:v>
                </c:pt>
                <c:pt idx="51">
                  <c:v>-100350.23922194526</c:v>
                </c:pt>
                <c:pt idx="52">
                  <c:v>-100357.31050350307</c:v>
                </c:pt>
                <c:pt idx="53">
                  <c:v>-100361.57491443536</c:v>
                </c:pt>
                <c:pt idx="54">
                  <c:v>-100363</c:v>
                </c:pt>
                <c:pt idx="55">
                  <c:v>-100361.57491443536</c:v>
                </c:pt>
                <c:pt idx="56">
                  <c:v>-100357.31050350307</c:v>
                </c:pt>
                <c:pt idx="57">
                  <c:v>-100350.23922194526</c:v>
                </c:pt>
                <c:pt idx="58">
                  <c:v>-100340.41488648432</c:v>
                </c:pt>
                <c:pt idx="59">
                  <c:v>-100327.91226624523</c:v>
                </c:pt>
                <c:pt idx="60">
                  <c:v>-100312.82651371727</c:v>
                </c:pt>
                <c:pt idx="61">
                  <c:v>-100295.27244058622</c:v>
                </c:pt>
                <c:pt idx="62">
                  <c:v>-100275.38364394805</c:v>
                </c:pt>
                <c:pt idx="63">
                  <c:v>-100253.31148955435</c:v>
                </c:pt>
                <c:pt idx="64">
                  <c:v>-100229.22395982761</c:v>
                </c:pt>
                <c:pt idx="65">
                  <c:v>-100203.30437541347</c:v>
                </c:pt>
                <c:pt idx="66">
                  <c:v>-100175.75</c:v>
                </c:pt>
                <c:pt idx="67">
                  <c:v>-100146.77053902189</c:v>
                </c:pt>
                <c:pt idx="68">
                  <c:v>-100116.58654367547</c:v>
                </c:pt>
                <c:pt idx="69">
                  <c:v>-100085.42773239089</c:v>
                </c:pt>
                <c:pt idx="70">
                  <c:v>-100053.53124253626</c:v>
                </c:pt>
                <c:pt idx="71">
                  <c:v>-100021.139825659</c:v>
                </c:pt>
                <c:pt idx="72">
                  <c:v>-99988.5</c:v>
                </c:pt>
              </c:numCache>
            </c:numRef>
          </c:yVal>
          <c:smooth val="0"/>
          <c:extLst>
            <c:ext xmlns:c16="http://schemas.microsoft.com/office/drawing/2014/chart" uri="{C3380CC4-5D6E-409C-BE32-E72D297353CC}">
              <c16:uniqueId val="{00000027-1673-41D7-A5FC-7E26F328539E}"/>
            </c:ext>
          </c:extLst>
        </c:ser>
        <c:ser>
          <c:idx val="36"/>
          <c:order val="36"/>
          <c:tx>
            <c:v>4_F</c:v>
          </c:tx>
          <c:spPr>
            <a:ln>
              <a:solidFill>
                <a:srgbClr val="7030A0"/>
              </a:solidFill>
            </a:ln>
          </c:spPr>
          <c:marker>
            <c:symbol val="none"/>
          </c:marker>
          <c:xVal>
            <c:numRef>
              <c:f>('Background calcs'!$T$120,'Background calcs'!$T$88,'Background calcs'!$T$90,'Background calcs'!$T$69,'Background calcs'!$T$65,'Background calcs'!$T$88,'Background calcs'!$T$75,'Background calcs'!$T$73,'Background calcs'!$T$69,'Background calcs'!$T$73,'Background calcs'!$T$85)</c:f>
              <c:numCache>
                <c:formatCode>General</c:formatCode>
                <c:ptCount val="11"/>
                <c:pt idx="0">
                  <c:v>-99770.490214727484</c:v>
                </c:pt>
                <c:pt idx="1">
                  <c:v>-99658.510099148218</c:v>
                </c:pt>
                <c:pt idx="2">
                  <c:v>-99566.410332226427</c:v>
                </c:pt>
                <c:pt idx="3">
                  <c:v>-99566.410332226427</c:v>
                </c:pt>
                <c:pt idx="4">
                  <c:v>-100000</c:v>
                </c:pt>
                <c:pt idx="5">
                  <c:v>-99658.510099148218</c:v>
                </c:pt>
                <c:pt idx="6">
                  <c:v>-99104.410332226427</c:v>
                </c:pt>
                <c:pt idx="7">
                  <c:v>-99060.547934644652</c:v>
                </c:pt>
                <c:pt idx="8">
                  <c:v>-99566.410332226427</c:v>
                </c:pt>
                <c:pt idx="9">
                  <c:v>-99060.547934644652</c:v>
                </c:pt>
                <c:pt idx="10">
                  <c:v>-98807.290253128565</c:v>
                </c:pt>
              </c:numCache>
            </c:numRef>
          </c:xVal>
          <c:yVal>
            <c:numRef>
              <c:f>('Background calcs'!$T$121,'Background calcs'!$T$87,'Background calcs'!$T$91,'Background calcs'!$T$70,'Background calcs'!$T$66,'Background calcs'!$T$87,'Background calcs'!$T$76,'Background calcs'!$T$74,'Background calcs'!$T$70,'Background calcs'!$T$74,'Background calcs'!$T$81)</c:f>
              <c:numCache>
                <c:formatCode>General</c:formatCode>
                <c:ptCount val="11"/>
                <c:pt idx="0">
                  <c:v>-99339.315875157161</c:v>
                </c:pt>
                <c:pt idx="1">
                  <c:v>-99611</c:v>
                </c:pt>
                <c:pt idx="2">
                  <c:v>-99834.450783605105</c:v>
                </c:pt>
                <c:pt idx="3">
                  <c:v>-100035</c:v>
                </c:pt>
                <c:pt idx="4">
                  <c:v>-100000</c:v>
                </c:pt>
                <c:pt idx="5">
                  <c:v>-99611</c:v>
                </c:pt>
                <c:pt idx="6">
                  <c:v>-99422</c:v>
                </c:pt>
                <c:pt idx="7">
                  <c:v>-99522.876608182371</c:v>
                </c:pt>
                <c:pt idx="8">
                  <c:v>-100035</c:v>
                </c:pt>
                <c:pt idx="9">
                  <c:v>-99522.876608182371</c:v>
                </c:pt>
                <c:pt idx="10">
                  <c:v>-100000</c:v>
                </c:pt>
              </c:numCache>
            </c:numRef>
          </c:yVal>
          <c:smooth val="0"/>
          <c:extLst>
            <c:ext xmlns:c16="http://schemas.microsoft.com/office/drawing/2014/chart" uri="{C3380CC4-5D6E-409C-BE32-E72D297353CC}">
              <c16:uniqueId val="{00000006-5414-4B96-AC52-4D49445FA07D}"/>
            </c:ext>
          </c:extLst>
        </c:ser>
        <c:ser>
          <c:idx val="37"/>
          <c:order val="37"/>
          <c:tx>
            <c:v>4_S</c:v>
          </c:tx>
          <c:spPr>
            <a:ln>
              <a:solidFill>
                <a:srgbClr val="7030A0"/>
              </a:solidFill>
            </a:ln>
          </c:spPr>
          <c:marker>
            <c:symbol val="none"/>
          </c:marker>
          <c:xVal>
            <c:numRef>
              <c:f>('Background calcs'!$T$116,'Background calcs'!$T$118)</c:f>
              <c:numCache>
                <c:formatCode>General</c:formatCode>
                <c:ptCount val="2"/>
                <c:pt idx="0">
                  <c:v>-99672.490214727484</c:v>
                </c:pt>
                <c:pt idx="1">
                  <c:v>-99852.490214727484</c:v>
                </c:pt>
              </c:numCache>
            </c:numRef>
          </c:xVal>
          <c:yVal>
            <c:numRef>
              <c:f>('Background calcs'!$T$117,'Background calcs'!$T$119)</c:f>
              <c:numCache>
                <c:formatCode>General</c:formatCode>
                <c:ptCount val="2"/>
                <c:pt idx="0">
                  <c:v>-99339.315875157161</c:v>
                </c:pt>
                <c:pt idx="1">
                  <c:v>-99339.315875157161</c:v>
                </c:pt>
              </c:numCache>
            </c:numRef>
          </c:yVal>
          <c:smooth val="0"/>
          <c:extLst>
            <c:ext xmlns:c16="http://schemas.microsoft.com/office/drawing/2014/chart" uri="{C3380CC4-5D6E-409C-BE32-E72D297353CC}">
              <c16:uniqueId val="{00000007-5414-4B96-AC52-4D49445FA07D}"/>
            </c:ext>
          </c:extLst>
        </c:ser>
        <c:ser>
          <c:idx val="38"/>
          <c:order val="38"/>
          <c:tx>
            <c:v>4_C</c:v>
          </c:tx>
          <c:spPr>
            <a:ln>
              <a:solidFill>
                <a:srgbClr val="7030A0"/>
              </a:solidFill>
            </a:ln>
          </c:spPr>
          <c:marker>
            <c:symbol val="none"/>
          </c:marker>
          <c:xVal>
            <c:numRef>
              <c:f>('Background calcs'!$T$77,'Background calcs'!$T$94,'Background calcs'!$T$97,'Background calcs'!$T$100,'Background calcs'!$T$106)</c:f>
              <c:numCache>
                <c:formatCode>General</c:formatCode>
                <c:ptCount val="5"/>
                <c:pt idx="0">
                  <c:v>-99104.410332226427</c:v>
                </c:pt>
                <c:pt idx="1">
                  <c:v>-99120.759044052364</c:v>
                </c:pt>
                <c:pt idx="2">
                  <c:v>-99084.076641076957</c:v>
                </c:pt>
                <c:pt idx="3">
                  <c:v>-99084.076641076957</c:v>
                </c:pt>
                <c:pt idx="4">
                  <c:v>-99111.816015948556</c:v>
                </c:pt>
              </c:numCache>
            </c:numRef>
          </c:xVal>
          <c:yVal>
            <c:numRef>
              <c:f>('Background calcs'!$T$78,'Background calcs'!$T$95,'Background calcs'!$T$98,'Background calcs'!$T$101,'Background calcs'!$T$107)</c:f>
              <c:numCache>
                <c:formatCode>General</c:formatCode>
                <c:ptCount val="5"/>
                <c:pt idx="0">
                  <c:v>-99422</c:v>
                </c:pt>
                <c:pt idx="1">
                  <c:v>-99384.400536950212</c:v>
                </c:pt>
                <c:pt idx="2">
                  <c:v>-99368.450574193193</c:v>
                </c:pt>
                <c:pt idx="3">
                  <c:v>-99348.450574193193</c:v>
                </c:pt>
                <c:pt idx="4">
                  <c:v>-99332.936851984123</c:v>
                </c:pt>
              </c:numCache>
            </c:numRef>
          </c:yVal>
          <c:smooth val="0"/>
          <c:extLst>
            <c:ext xmlns:c16="http://schemas.microsoft.com/office/drawing/2014/chart" uri="{C3380CC4-5D6E-409C-BE32-E72D297353CC}">
              <c16:uniqueId val="{00000008-5414-4B96-AC52-4D49445FA07D}"/>
            </c:ext>
          </c:extLst>
        </c:ser>
        <c:ser>
          <c:idx val="39"/>
          <c:order val="39"/>
          <c:tx>
            <c:v>4_P</c:v>
          </c:tx>
          <c:spPr>
            <a:ln>
              <a:solidFill>
                <a:srgbClr val="7030A0"/>
              </a:solidFill>
            </a:ln>
          </c:spPr>
          <c:marker>
            <c:symbol val="none"/>
          </c:marker>
          <c:xVal>
            <c:numRef>
              <c:f>('Background calcs'!$T$71,'Background calcs'!$T$108,'Background calcs'!$T$110,'Background calcs'!$T$112)</c:f>
              <c:numCache>
                <c:formatCode>General</c:formatCode>
                <c:ptCount val="4"/>
                <c:pt idx="0">
                  <c:v>-99566.410332226427</c:v>
                </c:pt>
                <c:pt idx="1">
                  <c:v>-99566.410332226427</c:v>
                </c:pt>
                <c:pt idx="2">
                  <c:v>-99516.410332226427</c:v>
                </c:pt>
                <c:pt idx="3">
                  <c:v>-99616.410332226427</c:v>
                </c:pt>
              </c:numCache>
            </c:numRef>
          </c:xVal>
          <c:yVal>
            <c:numRef>
              <c:f>('Background calcs'!$T$72,'Background calcs'!$T$109,'Background calcs'!$T$111,'Background calcs'!$T$113)</c:f>
              <c:numCache>
                <c:formatCode>General</c:formatCode>
                <c:ptCount val="4"/>
                <c:pt idx="0">
                  <c:v>-100035</c:v>
                </c:pt>
                <c:pt idx="1">
                  <c:v>-100210</c:v>
                </c:pt>
                <c:pt idx="2">
                  <c:v>-100210</c:v>
                </c:pt>
                <c:pt idx="3">
                  <c:v>-100210</c:v>
                </c:pt>
              </c:numCache>
            </c:numRef>
          </c:yVal>
          <c:smooth val="0"/>
          <c:extLst>
            <c:ext xmlns:c16="http://schemas.microsoft.com/office/drawing/2014/chart" uri="{C3380CC4-5D6E-409C-BE32-E72D297353CC}">
              <c16:uniqueId val="{00000009-5414-4B96-AC52-4D49445FA07D}"/>
            </c:ext>
          </c:extLst>
        </c:ser>
        <c:ser>
          <c:idx val="40"/>
          <c:order val="40"/>
          <c:tx>
            <c:v>4_r</c:v>
          </c:tx>
          <c:spPr>
            <a:ln>
              <a:solidFill>
                <a:srgbClr val="7030A0"/>
              </a:solidFill>
            </a:ln>
          </c:spPr>
          <c:marker>
            <c:symbol val="none"/>
          </c:marker>
          <c:xVal>
            <c:numRef>
              <c:f>'Background calcs'!$T$155:$T$227</c:f>
              <c:numCache>
                <c:formatCode>General</c:formatCode>
                <c:ptCount val="73"/>
                <c:pt idx="0">
                  <c:v>-99628</c:v>
                </c:pt>
                <c:pt idx="1">
                  <c:v>-99629.415572309867</c:v>
                </c:pt>
                <c:pt idx="2">
                  <c:v>-99633.651515879465</c:v>
                </c:pt>
                <c:pt idx="3">
                  <c:v>-99640.675592620464</c:v>
                </c:pt>
                <c:pt idx="4">
                  <c:v>-99650.434345067639</c:v>
                </c:pt>
                <c:pt idx="5">
                  <c:v>-99662.853503222359</c:v>
                </c:pt>
                <c:pt idx="6">
                  <c:v>-99677.838549792184</c:v>
                </c:pt>
                <c:pt idx="7">
                  <c:v>-99695.275439524499</c:v>
                </c:pt>
                <c:pt idx="8">
                  <c:v>-99715.031467159744</c:v>
                </c:pt>
                <c:pt idx="9">
                  <c:v>-99736.956277398611</c:v>
                </c:pt>
                <c:pt idx="10">
                  <c:v>-99760.883009196608</c:v>
                </c:pt>
                <c:pt idx="11">
                  <c:v>-99786.629565677416</c:v>
                </c:pt>
                <c:pt idx="12">
                  <c:v>-99814</c:v>
                </c:pt>
                <c:pt idx="13">
                  <c:v>-99842.786006632465</c:v>
                </c:pt>
                <c:pt idx="14">
                  <c:v>-99872.768506682856</c:v>
                </c:pt>
                <c:pt idx="15">
                  <c:v>-99903.719315221868</c:v>
                </c:pt>
                <c:pt idx="16">
                  <c:v>-99935.402877907909</c:v>
                </c:pt>
                <c:pt idx="17">
                  <c:v>-99967.578063697874</c:v>
                </c:pt>
                <c:pt idx="18">
                  <c:v>-100000</c:v>
                </c:pt>
                <c:pt idx="19">
                  <c:v>-100032.42193630213</c:v>
                </c:pt>
                <c:pt idx="20">
                  <c:v>-100064.59712209209</c:v>
                </c:pt>
                <c:pt idx="21">
                  <c:v>-100096.28068477813</c:v>
                </c:pt>
                <c:pt idx="22">
                  <c:v>-100127.23149331714</c:v>
                </c:pt>
                <c:pt idx="23">
                  <c:v>-100157.21399336754</c:v>
                </c:pt>
                <c:pt idx="24">
                  <c:v>-100186</c:v>
                </c:pt>
                <c:pt idx="25">
                  <c:v>-100213.37043432258</c:v>
                </c:pt>
                <c:pt idx="26">
                  <c:v>-100239.11699080339</c:v>
                </c:pt>
                <c:pt idx="27">
                  <c:v>-100263.04372260139</c:v>
                </c:pt>
                <c:pt idx="28">
                  <c:v>-100284.96853284026</c:v>
                </c:pt>
                <c:pt idx="29">
                  <c:v>-100304.7245604755</c:v>
                </c:pt>
                <c:pt idx="30">
                  <c:v>-100322.16145020782</c:v>
                </c:pt>
                <c:pt idx="31">
                  <c:v>-100337.14649677764</c:v>
                </c:pt>
                <c:pt idx="32">
                  <c:v>-100349.56565493236</c:v>
                </c:pt>
                <c:pt idx="33">
                  <c:v>-100359.32440737954</c:v>
                </c:pt>
                <c:pt idx="34">
                  <c:v>-100366.34848412054</c:v>
                </c:pt>
                <c:pt idx="35">
                  <c:v>-100370.58442769013</c:v>
                </c:pt>
                <c:pt idx="36">
                  <c:v>-100372</c:v>
                </c:pt>
                <c:pt idx="37">
                  <c:v>-100370.58442769013</c:v>
                </c:pt>
                <c:pt idx="38">
                  <c:v>-100366.34848412054</c:v>
                </c:pt>
                <c:pt idx="39">
                  <c:v>-100359.32440737954</c:v>
                </c:pt>
                <c:pt idx="40">
                  <c:v>-100349.56565493236</c:v>
                </c:pt>
                <c:pt idx="41">
                  <c:v>-100337.14649677764</c:v>
                </c:pt>
                <c:pt idx="42">
                  <c:v>-100322.16145020782</c:v>
                </c:pt>
                <c:pt idx="43">
                  <c:v>-100304.7245604755</c:v>
                </c:pt>
                <c:pt idx="44">
                  <c:v>-100284.96853284026</c:v>
                </c:pt>
                <c:pt idx="45">
                  <c:v>-100263.04372260139</c:v>
                </c:pt>
                <c:pt idx="46">
                  <c:v>-100239.11699080339</c:v>
                </c:pt>
                <c:pt idx="47">
                  <c:v>-100213.37043432258</c:v>
                </c:pt>
                <c:pt idx="48">
                  <c:v>-100186</c:v>
                </c:pt>
                <c:pt idx="49">
                  <c:v>-100157.21399336754</c:v>
                </c:pt>
                <c:pt idx="50">
                  <c:v>-100127.23149331714</c:v>
                </c:pt>
                <c:pt idx="51">
                  <c:v>-100096.28068477813</c:v>
                </c:pt>
                <c:pt idx="52">
                  <c:v>-100064.59712209209</c:v>
                </c:pt>
                <c:pt idx="53">
                  <c:v>-100032.42193630213</c:v>
                </c:pt>
                <c:pt idx="54">
                  <c:v>-100000</c:v>
                </c:pt>
                <c:pt idx="55">
                  <c:v>-99967.578063697874</c:v>
                </c:pt>
                <c:pt idx="56">
                  <c:v>-99935.402877907909</c:v>
                </c:pt>
                <c:pt idx="57">
                  <c:v>-99903.719315221868</c:v>
                </c:pt>
                <c:pt idx="58">
                  <c:v>-99872.768506682856</c:v>
                </c:pt>
                <c:pt idx="59">
                  <c:v>-99842.786006632465</c:v>
                </c:pt>
                <c:pt idx="60">
                  <c:v>-99814</c:v>
                </c:pt>
                <c:pt idx="61">
                  <c:v>-99786.629565677416</c:v>
                </c:pt>
                <c:pt idx="62">
                  <c:v>-99760.883009196608</c:v>
                </c:pt>
                <c:pt idx="63">
                  <c:v>-99736.956277398611</c:v>
                </c:pt>
                <c:pt idx="64">
                  <c:v>-99715.031467159744</c:v>
                </c:pt>
                <c:pt idx="65">
                  <c:v>-99695.275439524499</c:v>
                </c:pt>
                <c:pt idx="66">
                  <c:v>-99677.838549792184</c:v>
                </c:pt>
                <c:pt idx="67">
                  <c:v>-99662.853503222359</c:v>
                </c:pt>
                <c:pt idx="68">
                  <c:v>-99650.434345067639</c:v>
                </c:pt>
                <c:pt idx="69">
                  <c:v>-99640.675592620464</c:v>
                </c:pt>
                <c:pt idx="70">
                  <c:v>-99633.651515879465</c:v>
                </c:pt>
                <c:pt idx="71">
                  <c:v>-99629.415572309867</c:v>
                </c:pt>
                <c:pt idx="72">
                  <c:v>-99628</c:v>
                </c:pt>
              </c:numCache>
            </c:numRef>
          </c:xVal>
          <c:yVal>
            <c:numRef>
              <c:f>'Background calcs'!$T$229:$T$301</c:f>
              <c:numCache>
                <c:formatCode>General</c:formatCode>
                <c:ptCount val="73"/>
                <c:pt idx="0">
                  <c:v>-100000</c:v>
                </c:pt>
                <c:pt idx="1">
                  <c:v>-99967.578063697874</c:v>
                </c:pt>
                <c:pt idx="2">
                  <c:v>-99935.402877907909</c:v>
                </c:pt>
                <c:pt idx="3">
                  <c:v>-99903.719315221868</c:v>
                </c:pt>
                <c:pt idx="4">
                  <c:v>-99872.768506682856</c:v>
                </c:pt>
                <c:pt idx="5">
                  <c:v>-99842.786006632465</c:v>
                </c:pt>
                <c:pt idx="6">
                  <c:v>-99814</c:v>
                </c:pt>
                <c:pt idx="7">
                  <c:v>-99786.629565677416</c:v>
                </c:pt>
                <c:pt idx="8">
                  <c:v>-99760.883009196608</c:v>
                </c:pt>
                <c:pt idx="9">
                  <c:v>-99736.956277398611</c:v>
                </c:pt>
                <c:pt idx="10">
                  <c:v>-99715.031467159744</c:v>
                </c:pt>
                <c:pt idx="11">
                  <c:v>-99695.275439524499</c:v>
                </c:pt>
                <c:pt idx="12">
                  <c:v>-99677.838549792184</c:v>
                </c:pt>
                <c:pt idx="13">
                  <c:v>-99662.853503222359</c:v>
                </c:pt>
                <c:pt idx="14">
                  <c:v>-99650.434345067639</c:v>
                </c:pt>
                <c:pt idx="15">
                  <c:v>-99640.675592620464</c:v>
                </c:pt>
                <c:pt idx="16">
                  <c:v>-99633.651515879465</c:v>
                </c:pt>
                <c:pt idx="17">
                  <c:v>-99629.415572309867</c:v>
                </c:pt>
                <c:pt idx="18">
                  <c:v>-99628</c:v>
                </c:pt>
                <c:pt idx="19">
                  <c:v>-99629.415572309867</c:v>
                </c:pt>
                <c:pt idx="20">
                  <c:v>-99633.651515879465</c:v>
                </c:pt>
                <c:pt idx="21">
                  <c:v>-99640.675592620464</c:v>
                </c:pt>
                <c:pt idx="22">
                  <c:v>-99650.434345067639</c:v>
                </c:pt>
                <c:pt idx="23">
                  <c:v>-99662.853503222359</c:v>
                </c:pt>
                <c:pt idx="24">
                  <c:v>-99677.838549792184</c:v>
                </c:pt>
                <c:pt idx="25">
                  <c:v>-99695.275439524499</c:v>
                </c:pt>
                <c:pt idx="26">
                  <c:v>-99715.031467159744</c:v>
                </c:pt>
                <c:pt idx="27">
                  <c:v>-99736.956277398611</c:v>
                </c:pt>
                <c:pt idx="28">
                  <c:v>-99760.883009196608</c:v>
                </c:pt>
                <c:pt idx="29">
                  <c:v>-99786.629565677416</c:v>
                </c:pt>
                <c:pt idx="30">
                  <c:v>-99814</c:v>
                </c:pt>
                <c:pt idx="31">
                  <c:v>-99842.786006632465</c:v>
                </c:pt>
                <c:pt idx="32">
                  <c:v>-99872.768506682856</c:v>
                </c:pt>
                <c:pt idx="33">
                  <c:v>-99903.719315221868</c:v>
                </c:pt>
                <c:pt idx="34">
                  <c:v>-99935.402877907909</c:v>
                </c:pt>
                <c:pt idx="35">
                  <c:v>-99967.578063697874</c:v>
                </c:pt>
                <c:pt idx="36">
                  <c:v>-100000</c:v>
                </c:pt>
                <c:pt idx="37">
                  <c:v>-100032.42193630213</c:v>
                </c:pt>
                <c:pt idx="38">
                  <c:v>-100064.59712209209</c:v>
                </c:pt>
                <c:pt idx="39">
                  <c:v>-100096.28068477813</c:v>
                </c:pt>
                <c:pt idx="40">
                  <c:v>-100127.23149331714</c:v>
                </c:pt>
                <c:pt idx="41">
                  <c:v>-100157.21399336754</c:v>
                </c:pt>
                <c:pt idx="42">
                  <c:v>-100186</c:v>
                </c:pt>
                <c:pt idx="43">
                  <c:v>-100213.37043432258</c:v>
                </c:pt>
                <c:pt idx="44">
                  <c:v>-100239.11699080339</c:v>
                </c:pt>
                <c:pt idx="45">
                  <c:v>-100263.04372260139</c:v>
                </c:pt>
                <c:pt idx="46">
                  <c:v>-100284.96853284026</c:v>
                </c:pt>
                <c:pt idx="47">
                  <c:v>-100304.7245604755</c:v>
                </c:pt>
                <c:pt idx="48">
                  <c:v>-100322.16145020782</c:v>
                </c:pt>
                <c:pt idx="49">
                  <c:v>-100337.14649677764</c:v>
                </c:pt>
                <c:pt idx="50">
                  <c:v>-100349.56565493236</c:v>
                </c:pt>
                <c:pt idx="51">
                  <c:v>-100359.32440737954</c:v>
                </c:pt>
                <c:pt idx="52">
                  <c:v>-100366.34848412054</c:v>
                </c:pt>
                <c:pt idx="53">
                  <c:v>-100370.58442769013</c:v>
                </c:pt>
                <c:pt idx="54">
                  <c:v>-100372</c:v>
                </c:pt>
                <c:pt idx="55">
                  <c:v>-100370.58442769013</c:v>
                </c:pt>
                <c:pt idx="56">
                  <c:v>-100366.34848412054</c:v>
                </c:pt>
                <c:pt idx="57">
                  <c:v>-100359.32440737954</c:v>
                </c:pt>
                <c:pt idx="58">
                  <c:v>-100349.56565493236</c:v>
                </c:pt>
                <c:pt idx="59">
                  <c:v>-100337.14649677764</c:v>
                </c:pt>
                <c:pt idx="60">
                  <c:v>-100322.16145020782</c:v>
                </c:pt>
                <c:pt idx="61">
                  <c:v>-100304.7245604755</c:v>
                </c:pt>
                <c:pt idx="62">
                  <c:v>-100284.96853284026</c:v>
                </c:pt>
                <c:pt idx="63">
                  <c:v>-100263.04372260139</c:v>
                </c:pt>
                <c:pt idx="64">
                  <c:v>-100239.11699080339</c:v>
                </c:pt>
                <c:pt idx="65">
                  <c:v>-100213.37043432258</c:v>
                </c:pt>
                <c:pt idx="66">
                  <c:v>-100186</c:v>
                </c:pt>
                <c:pt idx="67">
                  <c:v>-100157.21399336754</c:v>
                </c:pt>
                <c:pt idx="68">
                  <c:v>-100127.23149331714</c:v>
                </c:pt>
                <c:pt idx="69">
                  <c:v>-100096.28068477813</c:v>
                </c:pt>
                <c:pt idx="70">
                  <c:v>-100064.59712209209</c:v>
                </c:pt>
                <c:pt idx="71">
                  <c:v>-100032.42193630213</c:v>
                </c:pt>
                <c:pt idx="72">
                  <c:v>-100000</c:v>
                </c:pt>
              </c:numCache>
            </c:numRef>
          </c:yVal>
          <c:smooth val="0"/>
          <c:extLst>
            <c:ext xmlns:c16="http://schemas.microsoft.com/office/drawing/2014/chart" uri="{C3380CC4-5D6E-409C-BE32-E72D297353CC}">
              <c16:uniqueId val="{0000000A-5414-4B96-AC52-4D49445FA07D}"/>
            </c:ext>
          </c:extLst>
        </c:ser>
        <c:ser>
          <c:idx val="41"/>
          <c:order val="41"/>
          <c:tx>
            <c:v>4_f</c:v>
          </c:tx>
          <c:spPr>
            <a:ln>
              <a:solidFill>
                <a:srgbClr val="7030A0"/>
              </a:solidFill>
            </a:ln>
          </c:spPr>
          <c:marker>
            <c:symbol val="none"/>
          </c:marker>
          <c:xVal>
            <c:numRef>
              <c:f>'Background calcs'!$T$304:$T$376</c:f>
              <c:numCache>
                <c:formatCode>General</c:formatCode>
                <c:ptCount val="73"/>
                <c:pt idx="0">
                  <c:v>-98435.290253128565</c:v>
                </c:pt>
                <c:pt idx="1">
                  <c:v>-98436.705825438432</c:v>
                </c:pt>
                <c:pt idx="2">
                  <c:v>-98440.94176900803</c:v>
                </c:pt>
                <c:pt idx="3">
                  <c:v>-98447.96584574903</c:v>
                </c:pt>
                <c:pt idx="4">
                  <c:v>-98457.724598196204</c:v>
                </c:pt>
                <c:pt idx="5">
                  <c:v>-98470.143756350924</c:v>
                </c:pt>
                <c:pt idx="6">
                  <c:v>-98485.12880292075</c:v>
                </c:pt>
                <c:pt idx="7">
                  <c:v>-98502.565692653065</c:v>
                </c:pt>
                <c:pt idx="8">
                  <c:v>-98522.32172028831</c:v>
                </c:pt>
                <c:pt idx="9">
                  <c:v>-98544.246530527176</c:v>
                </c:pt>
                <c:pt idx="10">
                  <c:v>-98568.173262325174</c:v>
                </c:pt>
                <c:pt idx="11">
                  <c:v>-98593.919818805982</c:v>
                </c:pt>
                <c:pt idx="12">
                  <c:v>-98621.290253128565</c:v>
                </c:pt>
                <c:pt idx="13">
                  <c:v>-98650.07625976103</c:v>
                </c:pt>
                <c:pt idx="14">
                  <c:v>-98680.058759811422</c:v>
                </c:pt>
                <c:pt idx="15">
                  <c:v>-98711.009568350433</c:v>
                </c:pt>
                <c:pt idx="16">
                  <c:v>-98742.693131036474</c:v>
                </c:pt>
                <c:pt idx="17">
                  <c:v>-98774.86831682644</c:v>
                </c:pt>
                <c:pt idx="18">
                  <c:v>-98807.290253128565</c:v>
                </c:pt>
                <c:pt idx="19">
                  <c:v>-98839.712189430691</c:v>
                </c:pt>
                <c:pt idx="20">
                  <c:v>-98871.887375220656</c:v>
                </c:pt>
                <c:pt idx="21">
                  <c:v>-98903.570937906698</c:v>
                </c:pt>
                <c:pt idx="22">
                  <c:v>-98934.521746445709</c:v>
                </c:pt>
                <c:pt idx="23">
                  <c:v>-98964.504246496101</c:v>
                </c:pt>
                <c:pt idx="24">
                  <c:v>-98993.290253128565</c:v>
                </c:pt>
                <c:pt idx="25">
                  <c:v>-99020.660687451149</c:v>
                </c:pt>
                <c:pt idx="26">
                  <c:v>-99046.407243931957</c:v>
                </c:pt>
                <c:pt idx="27">
                  <c:v>-99070.333975729955</c:v>
                </c:pt>
                <c:pt idx="28">
                  <c:v>-99092.258785968821</c:v>
                </c:pt>
                <c:pt idx="29">
                  <c:v>-99112.014813604066</c:v>
                </c:pt>
                <c:pt idx="30">
                  <c:v>-99129.451703336381</c:v>
                </c:pt>
                <c:pt idx="31">
                  <c:v>-99144.436749906206</c:v>
                </c:pt>
                <c:pt idx="32">
                  <c:v>-99156.855908060927</c:v>
                </c:pt>
                <c:pt idx="33">
                  <c:v>-99166.614660508101</c:v>
                </c:pt>
                <c:pt idx="34">
                  <c:v>-99173.638737249101</c:v>
                </c:pt>
                <c:pt idx="35">
                  <c:v>-99177.874680818699</c:v>
                </c:pt>
                <c:pt idx="36">
                  <c:v>-99179.290253128565</c:v>
                </c:pt>
                <c:pt idx="37">
                  <c:v>-99177.874680818699</c:v>
                </c:pt>
                <c:pt idx="38">
                  <c:v>-99173.638737249101</c:v>
                </c:pt>
                <c:pt idx="39">
                  <c:v>-99166.614660508101</c:v>
                </c:pt>
                <c:pt idx="40">
                  <c:v>-99156.855908060927</c:v>
                </c:pt>
                <c:pt idx="41">
                  <c:v>-99144.436749906206</c:v>
                </c:pt>
                <c:pt idx="42">
                  <c:v>-99129.451703336381</c:v>
                </c:pt>
                <c:pt idx="43">
                  <c:v>-99112.014813604066</c:v>
                </c:pt>
                <c:pt idx="44">
                  <c:v>-99092.258785968821</c:v>
                </c:pt>
                <c:pt idx="45">
                  <c:v>-99070.333975729955</c:v>
                </c:pt>
                <c:pt idx="46">
                  <c:v>-99046.407243931957</c:v>
                </c:pt>
                <c:pt idx="47">
                  <c:v>-99020.660687451149</c:v>
                </c:pt>
                <c:pt idx="48">
                  <c:v>-98993.290253128565</c:v>
                </c:pt>
                <c:pt idx="49">
                  <c:v>-98964.504246496101</c:v>
                </c:pt>
                <c:pt idx="50">
                  <c:v>-98934.521746445709</c:v>
                </c:pt>
                <c:pt idx="51">
                  <c:v>-98903.570937906698</c:v>
                </c:pt>
                <c:pt idx="52">
                  <c:v>-98871.887375220656</c:v>
                </c:pt>
                <c:pt idx="53">
                  <c:v>-98839.712189430691</c:v>
                </c:pt>
                <c:pt idx="54">
                  <c:v>-98807.290253128565</c:v>
                </c:pt>
                <c:pt idx="55">
                  <c:v>-98774.86831682644</c:v>
                </c:pt>
                <c:pt idx="56">
                  <c:v>-98742.693131036474</c:v>
                </c:pt>
                <c:pt idx="57">
                  <c:v>-98711.009568350433</c:v>
                </c:pt>
                <c:pt idx="58">
                  <c:v>-98680.058759811422</c:v>
                </c:pt>
                <c:pt idx="59">
                  <c:v>-98650.07625976103</c:v>
                </c:pt>
                <c:pt idx="60">
                  <c:v>-98621.290253128565</c:v>
                </c:pt>
                <c:pt idx="61">
                  <c:v>-98593.919818805982</c:v>
                </c:pt>
                <c:pt idx="62">
                  <c:v>-98568.173262325174</c:v>
                </c:pt>
                <c:pt idx="63">
                  <c:v>-98544.246530527176</c:v>
                </c:pt>
                <c:pt idx="64">
                  <c:v>-98522.32172028831</c:v>
                </c:pt>
                <c:pt idx="65">
                  <c:v>-98502.565692653065</c:v>
                </c:pt>
                <c:pt idx="66">
                  <c:v>-98485.12880292075</c:v>
                </c:pt>
                <c:pt idx="67">
                  <c:v>-98470.143756350924</c:v>
                </c:pt>
                <c:pt idx="68">
                  <c:v>-98457.724598196204</c:v>
                </c:pt>
                <c:pt idx="69">
                  <c:v>-98447.96584574903</c:v>
                </c:pt>
                <c:pt idx="70">
                  <c:v>-98440.94176900803</c:v>
                </c:pt>
                <c:pt idx="71">
                  <c:v>-98436.705825438432</c:v>
                </c:pt>
                <c:pt idx="72">
                  <c:v>-98435.290253128565</c:v>
                </c:pt>
              </c:numCache>
            </c:numRef>
          </c:xVal>
          <c:yVal>
            <c:numRef>
              <c:f>'Background calcs'!$T$378:$T$450</c:f>
              <c:numCache>
                <c:formatCode>General</c:formatCode>
                <c:ptCount val="73"/>
                <c:pt idx="0">
                  <c:v>-100000</c:v>
                </c:pt>
                <c:pt idx="1">
                  <c:v>-99967.578063697874</c:v>
                </c:pt>
                <c:pt idx="2">
                  <c:v>-99935.402877907909</c:v>
                </c:pt>
                <c:pt idx="3">
                  <c:v>-99903.719315221868</c:v>
                </c:pt>
                <c:pt idx="4">
                  <c:v>-99872.768506682856</c:v>
                </c:pt>
                <c:pt idx="5">
                  <c:v>-99842.786006632465</c:v>
                </c:pt>
                <c:pt idx="6">
                  <c:v>-99814</c:v>
                </c:pt>
                <c:pt idx="7">
                  <c:v>-99786.629565677416</c:v>
                </c:pt>
                <c:pt idx="8">
                  <c:v>-99760.883009196608</c:v>
                </c:pt>
                <c:pt idx="9">
                  <c:v>-99736.956277398611</c:v>
                </c:pt>
                <c:pt idx="10">
                  <c:v>-99715.031467159744</c:v>
                </c:pt>
                <c:pt idx="11">
                  <c:v>-99695.275439524499</c:v>
                </c:pt>
                <c:pt idx="12">
                  <c:v>-99677.838549792184</c:v>
                </c:pt>
                <c:pt idx="13">
                  <c:v>-99662.853503222359</c:v>
                </c:pt>
                <c:pt idx="14">
                  <c:v>-99650.434345067639</c:v>
                </c:pt>
                <c:pt idx="15">
                  <c:v>-99640.675592620464</c:v>
                </c:pt>
                <c:pt idx="16">
                  <c:v>-99633.651515879465</c:v>
                </c:pt>
                <c:pt idx="17">
                  <c:v>-99629.415572309867</c:v>
                </c:pt>
                <c:pt idx="18">
                  <c:v>-99628</c:v>
                </c:pt>
                <c:pt idx="19">
                  <c:v>-99629.415572309867</c:v>
                </c:pt>
                <c:pt idx="20">
                  <c:v>-99633.651515879465</c:v>
                </c:pt>
                <c:pt idx="21">
                  <c:v>-99640.675592620464</c:v>
                </c:pt>
                <c:pt idx="22">
                  <c:v>-99650.434345067639</c:v>
                </c:pt>
                <c:pt idx="23">
                  <c:v>-99662.853503222359</c:v>
                </c:pt>
                <c:pt idx="24">
                  <c:v>-99677.838549792184</c:v>
                </c:pt>
                <c:pt idx="25">
                  <c:v>-99695.275439524499</c:v>
                </c:pt>
                <c:pt idx="26">
                  <c:v>-99715.031467159744</c:v>
                </c:pt>
                <c:pt idx="27">
                  <c:v>-99736.956277398611</c:v>
                </c:pt>
                <c:pt idx="28">
                  <c:v>-99760.883009196608</c:v>
                </c:pt>
                <c:pt idx="29">
                  <c:v>-99786.629565677416</c:v>
                </c:pt>
                <c:pt idx="30">
                  <c:v>-99814</c:v>
                </c:pt>
                <c:pt idx="31">
                  <c:v>-99842.786006632465</c:v>
                </c:pt>
                <c:pt idx="32">
                  <c:v>-99872.768506682856</c:v>
                </c:pt>
                <c:pt idx="33">
                  <c:v>-99903.719315221868</c:v>
                </c:pt>
                <c:pt idx="34">
                  <c:v>-99935.402877907909</c:v>
                </c:pt>
                <c:pt idx="35">
                  <c:v>-99967.578063697874</c:v>
                </c:pt>
                <c:pt idx="36">
                  <c:v>-100000</c:v>
                </c:pt>
                <c:pt idx="37">
                  <c:v>-100032.42193630213</c:v>
                </c:pt>
                <c:pt idx="38">
                  <c:v>-100064.59712209209</c:v>
                </c:pt>
                <c:pt idx="39">
                  <c:v>-100096.28068477813</c:v>
                </c:pt>
                <c:pt idx="40">
                  <c:v>-100127.23149331714</c:v>
                </c:pt>
                <c:pt idx="41">
                  <c:v>-100157.21399336754</c:v>
                </c:pt>
                <c:pt idx="42">
                  <c:v>-100186</c:v>
                </c:pt>
                <c:pt idx="43">
                  <c:v>-100213.37043432258</c:v>
                </c:pt>
                <c:pt idx="44">
                  <c:v>-100239.11699080339</c:v>
                </c:pt>
                <c:pt idx="45">
                  <c:v>-100263.04372260139</c:v>
                </c:pt>
                <c:pt idx="46">
                  <c:v>-100284.96853284026</c:v>
                </c:pt>
                <c:pt idx="47">
                  <c:v>-100304.7245604755</c:v>
                </c:pt>
                <c:pt idx="48">
                  <c:v>-100322.16145020782</c:v>
                </c:pt>
                <c:pt idx="49">
                  <c:v>-100337.14649677764</c:v>
                </c:pt>
                <c:pt idx="50">
                  <c:v>-100349.56565493236</c:v>
                </c:pt>
                <c:pt idx="51">
                  <c:v>-100359.32440737954</c:v>
                </c:pt>
                <c:pt idx="52">
                  <c:v>-100366.34848412054</c:v>
                </c:pt>
                <c:pt idx="53">
                  <c:v>-100370.58442769013</c:v>
                </c:pt>
                <c:pt idx="54">
                  <c:v>-100372</c:v>
                </c:pt>
                <c:pt idx="55">
                  <c:v>-100370.58442769013</c:v>
                </c:pt>
                <c:pt idx="56">
                  <c:v>-100366.34848412054</c:v>
                </c:pt>
                <c:pt idx="57">
                  <c:v>-100359.32440737954</c:v>
                </c:pt>
                <c:pt idx="58">
                  <c:v>-100349.56565493236</c:v>
                </c:pt>
                <c:pt idx="59">
                  <c:v>-100337.14649677764</c:v>
                </c:pt>
                <c:pt idx="60">
                  <c:v>-100322.16145020782</c:v>
                </c:pt>
                <c:pt idx="61">
                  <c:v>-100304.7245604755</c:v>
                </c:pt>
                <c:pt idx="62">
                  <c:v>-100284.96853284026</c:v>
                </c:pt>
                <c:pt idx="63">
                  <c:v>-100263.04372260139</c:v>
                </c:pt>
                <c:pt idx="64">
                  <c:v>-100239.11699080339</c:v>
                </c:pt>
                <c:pt idx="65">
                  <c:v>-100213.37043432258</c:v>
                </c:pt>
                <c:pt idx="66">
                  <c:v>-100186</c:v>
                </c:pt>
                <c:pt idx="67">
                  <c:v>-100157.21399336754</c:v>
                </c:pt>
                <c:pt idx="68">
                  <c:v>-100127.23149331714</c:v>
                </c:pt>
                <c:pt idx="69">
                  <c:v>-100096.28068477813</c:v>
                </c:pt>
                <c:pt idx="70">
                  <c:v>-100064.59712209209</c:v>
                </c:pt>
                <c:pt idx="71">
                  <c:v>-100032.42193630213</c:v>
                </c:pt>
                <c:pt idx="72">
                  <c:v>-100000</c:v>
                </c:pt>
              </c:numCache>
            </c:numRef>
          </c:yVal>
          <c:smooth val="0"/>
          <c:extLst>
            <c:ext xmlns:c16="http://schemas.microsoft.com/office/drawing/2014/chart" uri="{C3380CC4-5D6E-409C-BE32-E72D297353CC}">
              <c16:uniqueId val="{0000000B-5414-4B96-AC52-4D49445FA07D}"/>
            </c:ext>
          </c:extLst>
        </c:ser>
        <c:ser>
          <c:idx val="42"/>
          <c:order val="42"/>
          <c:tx>
            <c:v>4m_F</c:v>
          </c:tx>
          <c:spPr>
            <a:ln>
              <a:solidFill>
                <a:srgbClr val="B898D0">
                  <a:alpha val="50000"/>
                </a:srgbClr>
              </a:solidFill>
            </a:ln>
          </c:spPr>
          <c:marker>
            <c:symbol val="none"/>
          </c:marker>
          <c:xVal>
            <c:numRef>
              <c:f>('Background calcs'!$V$120,'Background calcs'!$V$88,'Background calcs'!$V$90,'Background calcs'!$V$69,'Background calcs'!$V$65,'Background calcs'!$V$88,'Background calcs'!$V$75,'Background calcs'!$V$73,'Background calcs'!$V$69,'Background calcs'!$V$73,'Background calcs'!$V$85)</c:f>
              <c:numCache>
                <c:formatCode>General</c:formatCode>
                <c:ptCount val="11"/>
                <c:pt idx="0">
                  <c:v>-99765.508893696402</c:v>
                </c:pt>
                <c:pt idx="1">
                  <c:v>-99655.583059686527</c:v>
                </c:pt>
                <c:pt idx="2">
                  <c:v>-99565.172868210837</c:v>
                </c:pt>
                <c:pt idx="3">
                  <c:v>-99566.686922668305</c:v>
                </c:pt>
                <c:pt idx="4">
                  <c:v>-100000</c:v>
                </c:pt>
                <c:pt idx="5">
                  <c:v>-99655.583059686527</c:v>
                </c:pt>
                <c:pt idx="6">
                  <c:v>-99103.606372513052</c:v>
                </c:pt>
                <c:pt idx="7">
                  <c:v>-99056.972644894122</c:v>
                </c:pt>
                <c:pt idx="8">
                  <c:v>-99566.686922668305</c:v>
                </c:pt>
                <c:pt idx="9">
                  <c:v>-99056.972644894122</c:v>
                </c:pt>
                <c:pt idx="10">
                  <c:v>-98790.758703440195</c:v>
                </c:pt>
              </c:numCache>
            </c:numRef>
          </c:xVal>
          <c:yVal>
            <c:numRef>
              <c:f>('Background calcs'!$V$121,'Background calcs'!$V$87,'Background calcs'!$V$91,'Background calcs'!$V$70,'Background calcs'!$V$66,'Background calcs'!$V$87,'Background calcs'!$V$76,'Background calcs'!$V$74,'Background calcs'!$V$70,'Background calcs'!$V$74,'Background calcs'!$V$81)</c:f>
              <c:numCache>
                <c:formatCode>General</c:formatCode>
                <c:ptCount val="11"/>
                <c:pt idx="0">
                  <c:v>-99341.067396906394</c:v>
                </c:pt>
                <c:pt idx="1">
                  <c:v>-99613.589177676302</c:v>
                </c:pt>
                <c:pt idx="2">
                  <c:v>-99837.728904271367</c:v>
                </c:pt>
                <c:pt idx="3">
                  <c:v>-100038.27240537701</c:v>
                </c:pt>
                <c:pt idx="4">
                  <c:v>-100000</c:v>
                </c:pt>
                <c:pt idx="5">
                  <c:v>-99613.589177676302</c:v>
                </c:pt>
                <c:pt idx="6">
                  <c:v>-99430.282832879559</c:v>
                </c:pt>
                <c:pt idx="7">
                  <c:v>-99529.982636871748</c:v>
                </c:pt>
                <c:pt idx="8">
                  <c:v>-100038.27240537701</c:v>
                </c:pt>
                <c:pt idx="9">
                  <c:v>-99529.982636871748</c:v>
                </c:pt>
                <c:pt idx="10">
                  <c:v>-100000</c:v>
                </c:pt>
              </c:numCache>
            </c:numRef>
          </c:yVal>
          <c:smooth val="0"/>
          <c:extLst>
            <c:ext xmlns:c16="http://schemas.microsoft.com/office/drawing/2014/chart" uri="{C3380CC4-5D6E-409C-BE32-E72D297353CC}">
              <c16:uniqueId val="{0000000C-5414-4B96-AC52-4D49445FA07D}"/>
            </c:ext>
          </c:extLst>
        </c:ser>
        <c:ser>
          <c:idx val="43"/>
          <c:order val="43"/>
          <c:tx>
            <c:v>4m_S</c:v>
          </c:tx>
          <c:spPr>
            <a:ln>
              <a:solidFill>
                <a:srgbClr val="B898D0">
                  <a:alpha val="50000"/>
                </a:srgbClr>
              </a:solidFill>
            </a:ln>
          </c:spPr>
          <c:marker>
            <c:symbol val="none"/>
          </c:marker>
          <c:xVal>
            <c:numRef>
              <c:f>('Background calcs'!$V$116,'Background calcs'!$V$118)</c:f>
              <c:numCache>
                <c:formatCode>General</c:formatCode>
                <c:ptCount val="2"/>
                <c:pt idx="0">
                  <c:v>-99667.508893696402</c:v>
                </c:pt>
                <c:pt idx="1">
                  <c:v>-99847.508893696402</c:v>
                </c:pt>
              </c:numCache>
            </c:numRef>
          </c:xVal>
          <c:yVal>
            <c:numRef>
              <c:f>('Background calcs'!$V$117,'Background calcs'!$V$119)</c:f>
              <c:numCache>
                <c:formatCode>General</c:formatCode>
                <c:ptCount val="2"/>
                <c:pt idx="0">
                  <c:v>-99341.067396906394</c:v>
                </c:pt>
                <c:pt idx="1">
                  <c:v>-99341.067396906394</c:v>
                </c:pt>
              </c:numCache>
            </c:numRef>
          </c:yVal>
          <c:smooth val="0"/>
          <c:extLst>
            <c:ext xmlns:c16="http://schemas.microsoft.com/office/drawing/2014/chart" uri="{C3380CC4-5D6E-409C-BE32-E72D297353CC}">
              <c16:uniqueId val="{0000000D-5414-4B96-AC52-4D49445FA07D}"/>
            </c:ext>
          </c:extLst>
        </c:ser>
        <c:ser>
          <c:idx val="44"/>
          <c:order val="44"/>
          <c:tx>
            <c:v>4m_C</c:v>
          </c:tx>
          <c:spPr>
            <a:ln>
              <a:solidFill>
                <a:srgbClr val="B898D0">
                  <a:alpha val="50000"/>
                </a:srgbClr>
              </a:solidFill>
            </a:ln>
          </c:spPr>
          <c:marker>
            <c:symbol val="none"/>
          </c:marker>
          <c:xVal>
            <c:numRef>
              <c:f>('Background calcs'!$V$77,'Background calcs'!$V$94,'Background calcs'!$V$97,'Background calcs'!$V$100,'Background calcs'!$V$106)</c:f>
              <c:numCache>
                <c:formatCode>General</c:formatCode>
                <c:ptCount val="5"/>
                <c:pt idx="0">
                  <c:v>-99103.606372513052</c:v>
                </c:pt>
                <c:pt idx="1">
                  <c:v>-99120.977446186633</c:v>
                </c:pt>
                <c:pt idx="2">
                  <c:v>-99084.745057253764</c:v>
                </c:pt>
                <c:pt idx="3">
                  <c:v>-99084.745057253764</c:v>
                </c:pt>
                <c:pt idx="4">
                  <c:v>-99112.484432125362</c:v>
                </c:pt>
              </c:numCache>
            </c:numRef>
          </c:xVal>
          <c:yVal>
            <c:numRef>
              <c:f>('Background calcs'!$V$78,'Background calcs'!$V$95,'Background calcs'!$V$98,'Background calcs'!$V$101,'Background calcs'!$V$107)</c:f>
              <c:numCache>
                <c:formatCode>General</c:formatCode>
                <c:ptCount val="5"/>
                <c:pt idx="0">
                  <c:v>-99430.282832879559</c:v>
                </c:pt>
                <c:pt idx="1">
                  <c:v>-99393.144634223368</c:v>
                </c:pt>
                <c:pt idx="2">
                  <c:v>-99376.197245273535</c:v>
                </c:pt>
                <c:pt idx="3">
                  <c:v>-99356.197245273535</c:v>
                </c:pt>
                <c:pt idx="4">
                  <c:v>-99340.68352306445</c:v>
                </c:pt>
              </c:numCache>
            </c:numRef>
          </c:yVal>
          <c:smooth val="0"/>
          <c:extLst>
            <c:ext xmlns:c16="http://schemas.microsoft.com/office/drawing/2014/chart" uri="{C3380CC4-5D6E-409C-BE32-E72D297353CC}">
              <c16:uniqueId val="{0000000E-5414-4B96-AC52-4D49445FA07D}"/>
            </c:ext>
          </c:extLst>
        </c:ser>
        <c:ser>
          <c:idx val="45"/>
          <c:order val="45"/>
          <c:tx>
            <c:v>4m_P</c:v>
          </c:tx>
          <c:spPr>
            <a:ln>
              <a:solidFill>
                <a:srgbClr val="B898D0">
                  <a:alpha val="50000"/>
                </a:srgbClr>
              </a:solidFill>
            </a:ln>
          </c:spPr>
          <c:marker>
            <c:symbol val="none"/>
          </c:marker>
          <c:xVal>
            <c:numRef>
              <c:f>('Background calcs'!$V$71,'Background calcs'!$V$108,'Background calcs'!$V$110,'Background calcs'!$V$112)</c:f>
              <c:numCache>
                <c:formatCode>General</c:formatCode>
                <c:ptCount val="4"/>
                <c:pt idx="0">
                  <c:v>-99566.686922668305</c:v>
                </c:pt>
                <c:pt idx="1">
                  <c:v>-99566.686922668305</c:v>
                </c:pt>
                <c:pt idx="2">
                  <c:v>-99516.686922668305</c:v>
                </c:pt>
                <c:pt idx="3">
                  <c:v>-99616.686922668305</c:v>
                </c:pt>
              </c:numCache>
            </c:numRef>
          </c:xVal>
          <c:yVal>
            <c:numRef>
              <c:f>('Background calcs'!$V$72,'Background calcs'!$V$109,'Background calcs'!$V$111,'Background calcs'!$V$113)</c:f>
              <c:numCache>
                <c:formatCode>General</c:formatCode>
                <c:ptCount val="4"/>
                <c:pt idx="0">
                  <c:v>-100038.27240537701</c:v>
                </c:pt>
                <c:pt idx="1">
                  <c:v>-100213.27240537701</c:v>
                </c:pt>
                <c:pt idx="2">
                  <c:v>-100213.27240537701</c:v>
                </c:pt>
                <c:pt idx="3">
                  <c:v>-100213.27240537701</c:v>
                </c:pt>
              </c:numCache>
            </c:numRef>
          </c:yVal>
          <c:smooth val="0"/>
          <c:extLst>
            <c:ext xmlns:c16="http://schemas.microsoft.com/office/drawing/2014/chart" uri="{C3380CC4-5D6E-409C-BE32-E72D297353CC}">
              <c16:uniqueId val="{0000000F-5414-4B96-AC52-4D49445FA07D}"/>
            </c:ext>
          </c:extLst>
        </c:ser>
        <c:ser>
          <c:idx val="46"/>
          <c:order val="46"/>
          <c:tx>
            <c:v>4m_r</c:v>
          </c:tx>
          <c:spPr>
            <a:ln>
              <a:solidFill>
                <a:srgbClr val="B898D0">
                  <a:alpha val="50000"/>
                </a:srgbClr>
              </a:solidFill>
            </a:ln>
          </c:spPr>
          <c:marker>
            <c:symbol val="none"/>
          </c:marker>
          <c:xVal>
            <c:numRef>
              <c:f>'Background calcs'!$V$155:$V$227</c:f>
              <c:numCache>
                <c:formatCode>General</c:formatCode>
                <c:ptCount val="73"/>
                <c:pt idx="0">
                  <c:v>-99628</c:v>
                </c:pt>
                <c:pt idx="1">
                  <c:v>-99629.415572309867</c:v>
                </c:pt>
                <c:pt idx="2">
                  <c:v>-99633.651515879465</c:v>
                </c:pt>
                <c:pt idx="3">
                  <c:v>-99640.675592620464</c:v>
                </c:pt>
                <c:pt idx="4">
                  <c:v>-99650.434345067639</c:v>
                </c:pt>
                <c:pt idx="5">
                  <c:v>-99662.853503222359</c:v>
                </c:pt>
                <c:pt idx="6">
                  <c:v>-99677.838549792184</c:v>
                </c:pt>
                <c:pt idx="7">
                  <c:v>-99695.275439524499</c:v>
                </c:pt>
                <c:pt idx="8">
                  <c:v>-99715.031467159744</c:v>
                </c:pt>
                <c:pt idx="9">
                  <c:v>-99736.956277398611</c:v>
                </c:pt>
                <c:pt idx="10">
                  <c:v>-99760.883009196608</c:v>
                </c:pt>
                <c:pt idx="11">
                  <c:v>-99786.629565677416</c:v>
                </c:pt>
                <c:pt idx="12">
                  <c:v>-99814</c:v>
                </c:pt>
                <c:pt idx="13">
                  <c:v>-99842.786006632465</c:v>
                </c:pt>
                <c:pt idx="14">
                  <c:v>-99872.768506682856</c:v>
                </c:pt>
                <c:pt idx="15">
                  <c:v>-99903.719315221868</c:v>
                </c:pt>
                <c:pt idx="16">
                  <c:v>-99935.402877907909</c:v>
                </c:pt>
                <c:pt idx="17">
                  <c:v>-99967.578063697874</c:v>
                </c:pt>
                <c:pt idx="18">
                  <c:v>-100000</c:v>
                </c:pt>
                <c:pt idx="19">
                  <c:v>-100032.42193630213</c:v>
                </c:pt>
                <c:pt idx="20">
                  <c:v>-100064.59712209209</c:v>
                </c:pt>
                <c:pt idx="21">
                  <c:v>-100096.28068477813</c:v>
                </c:pt>
                <c:pt idx="22">
                  <c:v>-100127.23149331714</c:v>
                </c:pt>
                <c:pt idx="23">
                  <c:v>-100157.21399336754</c:v>
                </c:pt>
                <c:pt idx="24">
                  <c:v>-100186</c:v>
                </c:pt>
                <c:pt idx="25">
                  <c:v>-100213.37043432258</c:v>
                </c:pt>
                <c:pt idx="26">
                  <c:v>-100239.11699080339</c:v>
                </c:pt>
                <c:pt idx="27">
                  <c:v>-100263.04372260139</c:v>
                </c:pt>
                <c:pt idx="28">
                  <c:v>-100284.96853284026</c:v>
                </c:pt>
                <c:pt idx="29">
                  <c:v>-100304.7245604755</c:v>
                </c:pt>
                <c:pt idx="30">
                  <c:v>-100322.16145020782</c:v>
                </c:pt>
                <c:pt idx="31">
                  <c:v>-100337.14649677764</c:v>
                </c:pt>
                <c:pt idx="32">
                  <c:v>-100349.56565493236</c:v>
                </c:pt>
                <c:pt idx="33">
                  <c:v>-100359.32440737954</c:v>
                </c:pt>
                <c:pt idx="34">
                  <c:v>-100366.34848412054</c:v>
                </c:pt>
                <c:pt idx="35">
                  <c:v>-100370.58442769013</c:v>
                </c:pt>
                <c:pt idx="36">
                  <c:v>-100372</c:v>
                </c:pt>
                <c:pt idx="37">
                  <c:v>-100370.58442769013</c:v>
                </c:pt>
                <c:pt idx="38">
                  <c:v>-100366.34848412054</c:v>
                </c:pt>
                <c:pt idx="39">
                  <c:v>-100359.32440737954</c:v>
                </c:pt>
                <c:pt idx="40">
                  <c:v>-100349.56565493236</c:v>
                </c:pt>
                <c:pt idx="41">
                  <c:v>-100337.14649677764</c:v>
                </c:pt>
                <c:pt idx="42">
                  <c:v>-100322.16145020782</c:v>
                </c:pt>
                <c:pt idx="43">
                  <c:v>-100304.7245604755</c:v>
                </c:pt>
                <c:pt idx="44">
                  <c:v>-100284.96853284026</c:v>
                </c:pt>
                <c:pt idx="45">
                  <c:v>-100263.04372260139</c:v>
                </c:pt>
                <c:pt idx="46">
                  <c:v>-100239.11699080339</c:v>
                </c:pt>
                <c:pt idx="47">
                  <c:v>-100213.37043432258</c:v>
                </c:pt>
                <c:pt idx="48">
                  <c:v>-100186</c:v>
                </c:pt>
                <c:pt idx="49">
                  <c:v>-100157.21399336754</c:v>
                </c:pt>
                <c:pt idx="50">
                  <c:v>-100127.23149331714</c:v>
                </c:pt>
                <c:pt idx="51">
                  <c:v>-100096.28068477813</c:v>
                </c:pt>
                <c:pt idx="52">
                  <c:v>-100064.59712209209</c:v>
                </c:pt>
                <c:pt idx="53">
                  <c:v>-100032.42193630213</c:v>
                </c:pt>
                <c:pt idx="54">
                  <c:v>-100000</c:v>
                </c:pt>
                <c:pt idx="55">
                  <c:v>-99967.578063697874</c:v>
                </c:pt>
                <c:pt idx="56">
                  <c:v>-99935.402877907909</c:v>
                </c:pt>
                <c:pt idx="57">
                  <c:v>-99903.719315221868</c:v>
                </c:pt>
                <c:pt idx="58">
                  <c:v>-99872.768506682856</c:v>
                </c:pt>
                <c:pt idx="59">
                  <c:v>-99842.786006632465</c:v>
                </c:pt>
                <c:pt idx="60">
                  <c:v>-99814</c:v>
                </c:pt>
                <c:pt idx="61">
                  <c:v>-99786.629565677416</c:v>
                </c:pt>
                <c:pt idx="62">
                  <c:v>-99760.883009196608</c:v>
                </c:pt>
                <c:pt idx="63">
                  <c:v>-99736.956277398611</c:v>
                </c:pt>
                <c:pt idx="64">
                  <c:v>-99715.031467159744</c:v>
                </c:pt>
                <c:pt idx="65">
                  <c:v>-99695.275439524499</c:v>
                </c:pt>
                <c:pt idx="66">
                  <c:v>-99677.838549792184</c:v>
                </c:pt>
                <c:pt idx="67">
                  <c:v>-99662.853503222359</c:v>
                </c:pt>
                <c:pt idx="68">
                  <c:v>-99650.434345067639</c:v>
                </c:pt>
                <c:pt idx="69">
                  <c:v>-99640.675592620464</c:v>
                </c:pt>
                <c:pt idx="70">
                  <c:v>-99633.651515879465</c:v>
                </c:pt>
                <c:pt idx="71">
                  <c:v>-99629.415572309867</c:v>
                </c:pt>
                <c:pt idx="72">
                  <c:v>-99628</c:v>
                </c:pt>
              </c:numCache>
            </c:numRef>
          </c:xVal>
          <c:yVal>
            <c:numRef>
              <c:f>'Background calcs'!$V$229:$V$301</c:f>
              <c:numCache>
                <c:formatCode>General</c:formatCode>
                <c:ptCount val="73"/>
                <c:pt idx="0">
                  <c:v>-100000</c:v>
                </c:pt>
                <c:pt idx="1">
                  <c:v>-99967.578063697874</c:v>
                </c:pt>
                <c:pt idx="2">
                  <c:v>-99935.402877907909</c:v>
                </c:pt>
                <c:pt idx="3">
                  <c:v>-99903.719315221868</c:v>
                </c:pt>
                <c:pt idx="4">
                  <c:v>-99872.768506682856</c:v>
                </c:pt>
                <c:pt idx="5">
                  <c:v>-99842.786006632465</c:v>
                </c:pt>
                <c:pt idx="6">
                  <c:v>-99814</c:v>
                </c:pt>
                <c:pt idx="7">
                  <c:v>-99786.629565677416</c:v>
                </c:pt>
                <c:pt idx="8">
                  <c:v>-99760.883009196608</c:v>
                </c:pt>
                <c:pt idx="9">
                  <c:v>-99736.956277398611</c:v>
                </c:pt>
                <c:pt idx="10">
                  <c:v>-99715.031467159744</c:v>
                </c:pt>
                <c:pt idx="11">
                  <c:v>-99695.275439524499</c:v>
                </c:pt>
                <c:pt idx="12">
                  <c:v>-99677.838549792184</c:v>
                </c:pt>
                <c:pt idx="13">
                  <c:v>-99662.853503222359</c:v>
                </c:pt>
                <c:pt idx="14">
                  <c:v>-99650.434345067639</c:v>
                </c:pt>
                <c:pt idx="15">
                  <c:v>-99640.675592620464</c:v>
                </c:pt>
                <c:pt idx="16">
                  <c:v>-99633.651515879465</c:v>
                </c:pt>
                <c:pt idx="17">
                  <c:v>-99629.415572309867</c:v>
                </c:pt>
                <c:pt idx="18">
                  <c:v>-99628</c:v>
                </c:pt>
                <c:pt idx="19">
                  <c:v>-99629.415572309867</c:v>
                </c:pt>
                <c:pt idx="20">
                  <c:v>-99633.651515879465</c:v>
                </c:pt>
                <c:pt idx="21">
                  <c:v>-99640.675592620464</c:v>
                </c:pt>
                <c:pt idx="22">
                  <c:v>-99650.434345067639</c:v>
                </c:pt>
                <c:pt idx="23">
                  <c:v>-99662.853503222359</c:v>
                </c:pt>
                <c:pt idx="24">
                  <c:v>-99677.838549792184</c:v>
                </c:pt>
                <c:pt idx="25">
                  <c:v>-99695.275439524499</c:v>
                </c:pt>
                <c:pt idx="26">
                  <c:v>-99715.031467159744</c:v>
                </c:pt>
                <c:pt idx="27">
                  <c:v>-99736.956277398611</c:v>
                </c:pt>
                <c:pt idx="28">
                  <c:v>-99760.883009196608</c:v>
                </c:pt>
                <c:pt idx="29">
                  <c:v>-99786.629565677416</c:v>
                </c:pt>
                <c:pt idx="30">
                  <c:v>-99814</c:v>
                </c:pt>
                <c:pt idx="31">
                  <c:v>-99842.786006632465</c:v>
                </c:pt>
                <c:pt idx="32">
                  <c:v>-99872.768506682856</c:v>
                </c:pt>
                <c:pt idx="33">
                  <c:v>-99903.719315221868</c:v>
                </c:pt>
                <c:pt idx="34">
                  <c:v>-99935.402877907909</c:v>
                </c:pt>
                <c:pt idx="35">
                  <c:v>-99967.578063697874</c:v>
                </c:pt>
                <c:pt idx="36">
                  <c:v>-100000</c:v>
                </c:pt>
                <c:pt idx="37">
                  <c:v>-100032.42193630213</c:v>
                </c:pt>
                <c:pt idx="38">
                  <c:v>-100064.59712209209</c:v>
                </c:pt>
                <c:pt idx="39">
                  <c:v>-100096.28068477813</c:v>
                </c:pt>
                <c:pt idx="40">
                  <c:v>-100127.23149331714</c:v>
                </c:pt>
                <c:pt idx="41">
                  <c:v>-100157.21399336754</c:v>
                </c:pt>
                <c:pt idx="42">
                  <c:v>-100186</c:v>
                </c:pt>
                <c:pt idx="43">
                  <c:v>-100213.37043432258</c:v>
                </c:pt>
                <c:pt idx="44">
                  <c:v>-100239.11699080339</c:v>
                </c:pt>
                <c:pt idx="45">
                  <c:v>-100263.04372260139</c:v>
                </c:pt>
                <c:pt idx="46">
                  <c:v>-100284.96853284026</c:v>
                </c:pt>
                <c:pt idx="47">
                  <c:v>-100304.7245604755</c:v>
                </c:pt>
                <c:pt idx="48">
                  <c:v>-100322.16145020782</c:v>
                </c:pt>
                <c:pt idx="49">
                  <c:v>-100337.14649677764</c:v>
                </c:pt>
                <c:pt idx="50">
                  <c:v>-100349.56565493236</c:v>
                </c:pt>
                <c:pt idx="51">
                  <c:v>-100359.32440737954</c:v>
                </c:pt>
                <c:pt idx="52">
                  <c:v>-100366.34848412054</c:v>
                </c:pt>
                <c:pt idx="53">
                  <c:v>-100370.58442769013</c:v>
                </c:pt>
                <c:pt idx="54">
                  <c:v>-100372</c:v>
                </c:pt>
                <c:pt idx="55">
                  <c:v>-100370.58442769013</c:v>
                </c:pt>
                <c:pt idx="56">
                  <c:v>-100366.34848412054</c:v>
                </c:pt>
                <c:pt idx="57">
                  <c:v>-100359.32440737954</c:v>
                </c:pt>
                <c:pt idx="58">
                  <c:v>-100349.56565493236</c:v>
                </c:pt>
                <c:pt idx="59">
                  <c:v>-100337.14649677764</c:v>
                </c:pt>
                <c:pt idx="60">
                  <c:v>-100322.16145020782</c:v>
                </c:pt>
                <c:pt idx="61">
                  <c:v>-100304.7245604755</c:v>
                </c:pt>
                <c:pt idx="62">
                  <c:v>-100284.96853284026</c:v>
                </c:pt>
                <c:pt idx="63">
                  <c:v>-100263.04372260139</c:v>
                </c:pt>
                <c:pt idx="64">
                  <c:v>-100239.11699080339</c:v>
                </c:pt>
                <c:pt idx="65">
                  <c:v>-100213.37043432258</c:v>
                </c:pt>
                <c:pt idx="66">
                  <c:v>-100186</c:v>
                </c:pt>
                <c:pt idx="67">
                  <c:v>-100157.21399336754</c:v>
                </c:pt>
                <c:pt idx="68">
                  <c:v>-100127.23149331714</c:v>
                </c:pt>
                <c:pt idx="69">
                  <c:v>-100096.28068477813</c:v>
                </c:pt>
                <c:pt idx="70">
                  <c:v>-100064.59712209209</c:v>
                </c:pt>
                <c:pt idx="71">
                  <c:v>-100032.42193630213</c:v>
                </c:pt>
                <c:pt idx="72">
                  <c:v>-100000</c:v>
                </c:pt>
              </c:numCache>
            </c:numRef>
          </c:yVal>
          <c:smooth val="0"/>
          <c:extLst>
            <c:ext xmlns:c16="http://schemas.microsoft.com/office/drawing/2014/chart" uri="{C3380CC4-5D6E-409C-BE32-E72D297353CC}">
              <c16:uniqueId val="{00000010-5414-4B96-AC52-4D49445FA07D}"/>
            </c:ext>
          </c:extLst>
        </c:ser>
        <c:ser>
          <c:idx val="47"/>
          <c:order val="47"/>
          <c:tx>
            <c:v>4m_f</c:v>
          </c:tx>
          <c:spPr>
            <a:ln>
              <a:solidFill>
                <a:srgbClr val="B898D0">
                  <a:alpha val="50000"/>
                </a:srgbClr>
              </a:solidFill>
            </a:ln>
          </c:spPr>
          <c:marker>
            <c:symbol val="none"/>
          </c:marker>
          <c:xVal>
            <c:numRef>
              <c:f>'Background calcs'!$V$304:$V$376</c:f>
              <c:numCache>
                <c:formatCode>General</c:formatCode>
                <c:ptCount val="73"/>
                <c:pt idx="0">
                  <c:v>-98418.758703440195</c:v>
                </c:pt>
                <c:pt idx="1">
                  <c:v>-98420.174275750061</c:v>
                </c:pt>
                <c:pt idx="2">
                  <c:v>-98424.41021931966</c:v>
                </c:pt>
                <c:pt idx="3">
                  <c:v>-98431.434296060659</c:v>
                </c:pt>
                <c:pt idx="4">
                  <c:v>-98441.193048507834</c:v>
                </c:pt>
                <c:pt idx="5">
                  <c:v>-98453.612206662554</c:v>
                </c:pt>
                <c:pt idx="6">
                  <c:v>-98468.597253232379</c:v>
                </c:pt>
                <c:pt idx="7">
                  <c:v>-98486.034142964694</c:v>
                </c:pt>
                <c:pt idx="8">
                  <c:v>-98505.790170599939</c:v>
                </c:pt>
                <c:pt idx="9">
                  <c:v>-98527.714980838806</c:v>
                </c:pt>
                <c:pt idx="10">
                  <c:v>-98551.641712636803</c:v>
                </c:pt>
                <c:pt idx="11">
                  <c:v>-98577.388269117611</c:v>
                </c:pt>
                <c:pt idx="12">
                  <c:v>-98604.758703440195</c:v>
                </c:pt>
                <c:pt idx="13">
                  <c:v>-98633.54471007266</c:v>
                </c:pt>
                <c:pt idx="14">
                  <c:v>-98663.527210123051</c:v>
                </c:pt>
                <c:pt idx="15">
                  <c:v>-98694.478018662063</c:v>
                </c:pt>
                <c:pt idx="16">
                  <c:v>-98726.161581348104</c:v>
                </c:pt>
                <c:pt idx="17">
                  <c:v>-98758.336767138069</c:v>
                </c:pt>
                <c:pt idx="18">
                  <c:v>-98790.758703440195</c:v>
                </c:pt>
                <c:pt idx="19">
                  <c:v>-98823.180639742321</c:v>
                </c:pt>
                <c:pt idx="20">
                  <c:v>-98855.355825532286</c:v>
                </c:pt>
                <c:pt idx="21">
                  <c:v>-98887.039388218327</c:v>
                </c:pt>
                <c:pt idx="22">
                  <c:v>-98917.990196757339</c:v>
                </c:pt>
                <c:pt idx="23">
                  <c:v>-98947.97269680773</c:v>
                </c:pt>
                <c:pt idx="24">
                  <c:v>-98976.758703440195</c:v>
                </c:pt>
                <c:pt idx="25">
                  <c:v>-99004.129137762779</c:v>
                </c:pt>
                <c:pt idx="26">
                  <c:v>-99029.875694243587</c:v>
                </c:pt>
                <c:pt idx="27">
                  <c:v>-99053.802426041584</c:v>
                </c:pt>
                <c:pt idx="28">
                  <c:v>-99075.727236280451</c:v>
                </c:pt>
                <c:pt idx="29">
                  <c:v>-99095.483263915696</c:v>
                </c:pt>
                <c:pt idx="30">
                  <c:v>-99112.92015364801</c:v>
                </c:pt>
                <c:pt idx="31">
                  <c:v>-99127.905200217836</c:v>
                </c:pt>
                <c:pt idx="32">
                  <c:v>-99140.324358372556</c:v>
                </c:pt>
                <c:pt idx="33">
                  <c:v>-99150.083110819731</c:v>
                </c:pt>
                <c:pt idx="34">
                  <c:v>-99157.10718756073</c:v>
                </c:pt>
                <c:pt idx="35">
                  <c:v>-99161.343131130328</c:v>
                </c:pt>
                <c:pt idx="36">
                  <c:v>-99162.758703440195</c:v>
                </c:pt>
                <c:pt idx="37">
                  <c:v>-99161.343131130328</c:v>
                </c:pt>
                <c:pt idx="38">
                  <c:v>-99157.10718756073</c:v>
                </c:pt>
                <c:pt idx="39">
                  <c:v>-99150.083110819731</c:v>
                </c:pt>
                <c:pt idx="40">
                  <c:v>-99140.324358372556</c:v>
                </c:pt>
                <c:pt idx="41">
                  <c:v>-99127.905200217836</c:v>
                </c:pt>
                <c:pt idx="42">
                  <c:v>-99112.92015364801</c:v>
                </c:pt>
                <c:pt idx="43">
                  <c:v>-99095.483263915696</c:v>
                </c:pt>
                <c:pt idx="44">
                  <c:v>-99075.727236280451</c:v>
                </c:pt>
                <c:pt idx="45">
                  <c:v>-99053.802426041584</c:v>
                </c:pt>
                <c:pt idx="46">
                  <c:v>-99029.875694243587</c:v>
                </c:pt>
                <c:pt idx="47">
                  <c:v>-99004.129137762779</c:v>
                </c:pt>
                <c:pt idx="48">
                  <c:v>-98976.758703440195</c:v>
                </c:pt>
                <c:pt idx="49">
                  <c:v>-98947.97269680773</c:v>
                </c:pt>
                <c:pt idx="50">
                  <c:v>-98917.990196757339</c:v>
                </c:pt>
                <c:pt idx="51">
                  <c:v>-98887.039388218327</c:v>
                </c:pt>
                <c:pt idx="52">
                  <c:v>-98855.355825532286</c:v>
                </c:pt>
                <c:pt idx="53">
                  <c:v>-98823.180639742321</c:v>
                </c:pt>
                <c:pt idx="54">
                  <c:v>-98790.758703440195</c:v>
                </c:pt>
                <c:pt idx="55">
                  <c:v>-98758.336767138069</c:v>
                </c:pt>
                <c:pt idx="56">
                  <c:v>-98726.161581348104</c:v>
                </c:pt>
                <c:pt idx="57">
                  <c:v>-98694.478018662063</c:v>
                </c:pt>
                <c:pt idx="58">
                  <c:v>-98663.527210123051</c:v>
                </c:pt>
                <c:pt idx="59">
                  <c:v>-98633.54471007266</c:v>
                </c:pt>
                <c:pt idx="60">
                  <c:v>-98604.758703440195</c:v>
                </c:pt>
                <c:pt idx="61">
                  <c:v>-98577.388269117611</c:v>
                </c:pt>
                <c:pt idx="62">
                  <c:v>-98551.641712636803</c:v>
                </c:pt>
                <c:pt idx="63">
                  <c:v>-98527.714980838806</c:v>
                </c:pt>
                <c:pt idx="64">
                  <c:v>-98505.790170599939</c:v>
                </c:pt>
                <c:pt idx="65">
                  <c:v>-98486.034142964694</c:v>
                </c:pt>
                <c:pt idx="66">
                  <c:v>-98468.597253232379</c:v>
                </c:pt>
                <c:pt idx="67">
                  <c:v>-98453.612206662554</c:v>
                </c:pt>
                <c:pt idx="68">
                  <c:v>-98441.193048507834</c:v>
                </c:pt>
                <c:pt idx="69">
                  <c:v>-98431.434296060659</c:v>
                </c:pt>
                <c:pt idx="70">
                  <c:v>-98424.41021931966</c:v>
                </c:pt>
                <c:pt idx="71">
                  <c:v>-98420.174275750061</c:v>
                </c:pt>
                <c:pt idx="72">
                  <c:v>-98418.758703440195</c:v>
                </c:pt>
              </c:numCache>
            </c:numRef>
          </c:xVal>
          <c:yVal>
            <c:numRef>
              <c:f>'Background calcs'!$V$378:$V$450</c:f>
              <c:numCache>
                <c:formatCode>General</c:formatCode>
                <c:ptCount val="73"/>
                <c:pt idx="0">
                  <c:v>-100000</c:v>
                </c:pt>
                <c:pt idx="1">
                  <c:v>-99967.578063697874</c:v>
                </c:pt>
                <c:pt idx="2">
                  <c:v>-99935.402877907909</c:v>
                </c:pt>
                <c:pt idx="3">
                  <c:v>-99903.719315221868</c:v>
                </c:pt>
                <c:pt idx="4">
                  <c:v>-99872.768506682856</c:v>
                </c:pt>
                <c:pt idx="5">
                  <c:v>-99842.786006632465</c:v>
                </c:pt>
                <c:pt idx="6">
                  <c:v>-99814</c:v>
                </c:pt>
                <c:pt idx="7">
                  <c:v>-99786.629565677416</c:v>
                </c:pt>
                <c:pt idx="8">
                  <c:v>-99760.883009196608</c:v>
                </c:pt>
                <c:pt idx="9">
                  <c:v>-99736.956277398611</c:v>
                </c:pt>
                <c:pt idx="10">
                  <c:v>-99715.031467159744</c:v>
                </c:pt>
                <c:pt idx="11">
                  <c:v>-99695.275439524499</c:v>
                </c:pt>
                <c:pt idx="12">
                  <c:v>-99677.838549792184</c:v>
                </c:pt>
                <c:pt idx="13">
                  <c:v>-99662.853503222359</c:v>
                </c:pt>
                <c:pt idx="14">
                  <c:v>-99650.434345067639</c:v>
                </c:pt>
                <c:pt idx="15">
                  <c:v>-99640.675592620464</c:v>
                </c:pt>
                <c:pt idx="16">
                  <c:v>-99633.651515879465</c:v>
                </c:pt>
                <c:pt idx="17">
                  <c:v>-99629.415572309867</c:v>
                </c:pt>
                <c:pt idx="18">
                  <c:v>-99628</c:v>
                </c:pt>
                <c:pt idx="19">
                  <c:v>-99629.415572309867</c:v>
                </c:pt>
                <c:pt idx="20">
                  <c:v>-99633.651515879465</c:v>
                </c:pt>
                <c:pt idx="21">
                  <c:v>-99640.675592620464</c:v>
                </c:pt>
                <c:pt idx="22">
                  <c:v>-99650.434345067639</c:v>
                </c:pt>
                <c:pt idx="23">
                  <c:v>-99662.853503222359</c:v>
                </c:pt>
                <c:pt idx="24">
                  <c:v>-99677.838549792184</c:v>
                </c:pt>
                <c:pt idx="25">
                  <c:v>-99695.275439524499</c:v>
                </c:pt>
                <c:pt idx="26">
                  <c:v>-99715.031467159744</c:v>
                </c:pt>
                <c:pt idx="27">
                  <c:v>-99736.956277398611</c:v>
                </c:pt>
                <c:pt idx="28">
                  <c:v>-99760.883009196608</c:v>
                </c:pt>
                <c:pt idx="29">
                  <c:v>-99786.629565677416</c:v>
                </c:pt>
                <c:pt idx="30">
                  <c:v>-99814</c:v>
                </c:pt>
                <c:pt idx="31">
                  <c:v>-99842.786006632465</c:v>
                </c:pt>
                <c:pt idx="32">
                  <c:v>-99872.768506682856</c:v>
                </c:pt>
                <c:pt idx="33">
                  <c:v>-99903.719315221868</c:v>
                </c:pt>
                <c:pt idx="34">
                  <c:v>-99935.402877907909</c:v>
                </c:pt>
                <c:pt idx="35">
                  <c:v>-99967.578063697874</c:v>
                </c:pt>
                <c:pt idx="36">
                  <c:v>-100000</c:v>
                </c:pt>
                <c:pt idx="37">
                  <c:v>-100032.42193630213</c:v>
                </c:pt>
                <c:pt idx="38">
                  <c:v>-100064.59712209209</c:v>
                </c:pt>
                <c:pt idx="39">
                  <c:v>-100096.28068477813</c:v>
                </c:pt>
                <c:pt idx="40">
                  <c:v>-100127.23149331714</c:v>
                </c:pt>
                <c:pt idx="41">
                  <c:v>-100157.21399336754</c:v>
                </c:pt>
                <c:pt idx="42">
                  <c:v>-100186</c:v>
                </c:pt>
                <c:pt idx="43">
                  <c:v>-100213.37043432258</c:v>
                </c:pt>
                <c:pt idx="44">
                  <c:v>-100239.11699080339</c:v>
                </c:pt>
                <c:pt idx="45">
                  <c:v>-100263.04372260139</c:v>
                </c:pt>
                <c:pt idx="46">
                  <c:v>-100284.96853284026</c:v>
                </c:pt>
                <c:pt idx="47">
                  <c:v>-100304.7245604755</c:v>
                </c:pt>
                <c:pt idx="48">
                  <c:v>-100322.16145020782</c:v>
                </c:pt>
                <c:pt idx="49">
                  <c:v>-100337.14649677764</c:v>
                </c:pt>
                <c:pt idx="50">
                  <c:v>-100349.56565493236</c:v>
                </c:pt>
                <c:pt idx="51">
                  <c:v>-100359.32440737954</c:v>
                </c:pt>
                <c:pt idx="52">
                  <c:v>-100366.34848412054</c:v>
                </c:pt>
                <c:pt idx="53">
                  <c:v>-100370.58442769013</c:v>
                </c:pt>
                <c:pt idx="54">
                  <c:v>-100372</c:v>
                </c:pt>
                <c:pt idx="55">
                  <c:v>-100370.58442769013</c:v>
                </c:pt>
                <c:pt idx="56">
                  <c:v>-100366.34848412054</c:v>
                </c:pt>
                <c:pt idx="57">
                  <c:v>-100359.32440737954</c:v>
                </c:pt>
                <c:pt idx="58">
                  <c:v>-100349.56565493236</c:v>
                </c:pt>
                <c:pt idx="59">
                  <c:v>-100337.14649677764</c:v>
                </c:pt>
                <c:pt idx="60">
                  <c:v>-100322.16145020782</c:v>
                </c:pt>
                <c:pt idx="61">
                  <c:v>-100304.7245604755</c:v>
                </c:pt>
                <c:pt idx="62">
                  <c:v>-100284.96853284026</c:v>
                </c:pt>
                <c:pt idx="63">
                  <c:v>-100263.04372260139</c:v>
                </c:pt>
                <c:pt idx="64">
                  <c:v>-100239.11699080339</c:v>
                </c:pt>
                <c:pt idx="65">
                  <c:v>-100213.37043432258</c:v>
                </c:pt>
                <c:pt idx="66">
                  <c:v>-100186</c:v>
                </c:pt>
                <c:pt idx="67">
                  <c:v>-100157.21399336754</c:v>
                </c:pt>
                <c:pt idx="68">
                  <c:v>-100127.23149331714</c:v>
                </c:pt>
                <c:pt idx="69">
                  <c:v>-100096.28068477813</c:v>
                </c:pt>
                <c:pt idx="70">
                  <c:v>-100064.59712209209</c:v>
                </c:pt>
                <c:pt idx="71">
                  <c:v>-100032.42193630213</c:v>
                </c:pt>
                <c:pt idx="72">
                  <c:v>-100000</c:v>
                </c:pt>
              </c:numCache>
            </c:numRef>
          </c:yVal>
          <c:smooth val="0"/>
          <c:extLst>
            <c:ext xmlns:c16="http://schemas.microsoft.com/office/drawing/2014/chart" uri="{C3380CC4-5D6E-409C-BE32-E72D297353CC}">
              <c16:uniqueId val="{00000011-5414-4B96-AC52-4D49445FA07D}"/>
            </c:ext>
          </c:extLst>
        </c:ser>
        <c:ser>
          <c:idx val="48"/>
          <c:order val="48"/>
          <c:tx>
            <c:v>5_F</c:v>
          </c:tx>
          <c:spPr>
            <a:ln>
              <a:solidFill>
                <a:schemeClr val="tx1"/>
              </a:solidFill>
            </a:ln>
          </c:spPr>
          <c:marker>
            <c:symbol val="none"/>
          </c:marker>
          <c:xVal>
            <c:numRef>
              <c:f>('Background calcs'!$X$120,'Background calcs'!$X$88,'Background calcs'!$X$90,'Background calcs'!$X$69,'Background calcs'!$X$65,'Background calcs'!$X$88,'Background calcs'!$X$75,'Background calcs'!$X$73,'Background calcs'!$X$69,'Background calcs'!$X$73,'Background calcs'!$X$85)</c:f>
              <c:numCache>
                <c:formatCode>General</c:formatCode>
                <c:ptCount val="11"/>
                <c:pt idx="0">
                  <c:v>-99728.018560521799</c:v>
                </c:pt>
                <c:pt idx="1">
                  <c:v>-99616.168055075817</c:v>
                </c:pt>
                <c:pt idx="2">
                  <c:v>-99530.140712553213</c:v>
                </c:pt>
                <c:pt idx="3">
                  <c:v>-99530.140712553213</c:v>
                </c:pt>
                <c:pt idx="4">
                  <c:v>-100000</c:v>
                </c:pt>
                <c:pt idx="5">
                  <c:v>-99616.168055075817</c:v>
                </c:pt>
                <c:pt idx="6">
                  <c:v>-99115.140712553213</c:v>
                </c:pt>
                <c:pt idx="7">
                  <c:v>-99066.441855409154</c:v>
                </c:pt>
                <c:pt idx="8">
                  <c:v>-99530.140712553213</c:v>
                </c:pt>
                <c:pt idx="9">
                  <c:v>-99066.441855409154</c:v>
                </c:pt>
                <c:pt idx="10">
                  <c:v>-98813.073403578455</c:v>
                </c:pt>
              </c:numCache>
            </c:numRef>
          </c:xVal>
          <c:yVal>
            <c:numRef>
              <c:f>('Background calcs'!$X$121,'Background calcs'!$X$87,'Background calcs'!$X$91,'Background calcs'!$X$70,'Background calcs'!$X$66,'Background calcs'!$X$87,'Background calcs'!$X$76,'Background calcs'!$X$74,'Background calcs'!$X$70,'Background calcs'!$X$74,'Background calcs'!$X$81)</c:f>
              <c:numCache>
                <c:formatCode>General</c:formatCode>
                <c:ptCount val="11"/>
                <c:pt idx="0">
                  <c:v>-99293.259540764149</c:v>
                </c:pt>
                <c:pt idx="1">
                  <c:v>-99637.5</c:v>
                </c:pt>
                <c:pt idx="2">
                  <c:v>-99902.264935828731</c:v>
                </c:pt>
                <c:pt idx="3">
                  <c:v>-100011.5</c:v>
                </c:pt>
                <c:pt idx="4">
                  <c:v>-100000</c:v>
                </c:pt>
                <c:pt idx="5">
                  <c:v>-99637.5</c:v>
                </c:pt>
                <c:pt idx="6">
                  <c:v>-99388.5</c:v>
                </c:pt>
                <c:pt idx="7">
                  <c:v>-99509.033901093688</c:v>
                </c:pt>
                <c:pt idx="8">
                  <c:v>-100011.5</c:v>
                </c:pt>
                <c:pt idx="9">
                  <c:v>-99509.033901093688</c:v>
                </c:pt>
                <c:pt idx="10">
                  <c:v>-100000</c:v>
                </c:pt>
              </c:numCache>
            </c:numRef>
          </c:yVal>
          <c:smooth val="0"/>
          <c:extLst>
            <c:ext xmlns:c16="http://schemas.microsoft.com/office/drawing/2014/chart" uri="{C3380CC4-5D6E-409C-BE32-E72D297353CC}">
              <c16:uniqueId val="{00000012-5414-4B96-AC52-4D49445FA07D}"/>
            </c:ext>
          </c:extLst>
        </c:ser>
        <c:ser>
          <c:idx val="49"/>
          <c:order val="49"/>
          <c:tx>
            <c:v>5_S</c:v>
          </c:tx>
          <c:spPr>
            <a:ln>
              <a:solidFill>
                <a:schemeClr val="tx1"/>
              </a:solidFill>
            </a:ln>
          </c:spPr>
          <c:marker>
            <c:symbol val="none"/>
          </c:marker>
          <c:xVal>
            <c:numRef>
              <c:f>('Background calcs'!$X$116,'Background calcs'!$X$118)</c:f>
              <c:numCache>
                <c:formatCode>General</c:formatCode>
                <c:ptCount val="2"/>
                <c:pt idx="0">
                  <c:v>-99620.018560521799</c:v>
                </c:pt>
                <c:pt idx="1">
                  <c:v>-99800.018560521799</c:v>
                </c:pt>
              </c:numCache>
            </c:numRef>
          </c:xVal>
          <c:yVal>
            <c:numRef>
              <c:f>('Background calcs'!$X$117,'Background calcs'!$X$119)</c:f>
              <c:numCache>
                <c:formatCode>General</c:formatCode>
                <c:ptCount val="2"/>
                <c:pt idx="0">
                  <c:v>-99293.259540764149</c:v>
                </c:pt>
                <c:pt idx="1">
                  <c:v>-99293.259540764149</c:v>
                </c:pt>
              </c:numCache>
            </c:numRef>
          </c:yVal>
          <c:smooth val="0"/>
          <c:extLst>
            <c:ext xmlns:c16="http://schemas.microsoft.com/office/drawing/2014/chart" uri="{C3380CC4-5D6E-409C-BE32-E72D297353CC}">
              <c16:uniqueId val="{00000013-5414-4B96-AC52-4D49445FA07D}"/>
            </c:ext>
          </c:extLst>
        </c:ser>
        <c:ser>
          <c:idx val="50"/>
          <c:order val="50"/>
          <c:tx>
            <c:v>5_C</c:v>
          </c:tx>
          <c:spPr>
            <a:ln>
              <a:solidFill>
                <a:schemeClr val="tx1"/>
              </a:solidFill>
            </a:ln>
          </c:spPr>
          <c:marker>
            <c:symbol val="none"/>
          </c:marker>
          <c:xVal>
            <c:numRef>
              <c:f>('Background calcs'!$X$77,'Background calcs'!$X$94,'Background calcs'!$X$97,'Background calcs'!$X$100,'Background calcs'!$X$106)</c:f>
              <c:numCache>
                <c:formatCode>General</c:formatCode>
                <c:ptCount val="5"/>
                <c:pt idx="0">
                  <c:v>-99115.140712553213</c:v>
                </c:pt>
                <c:pt idx="1">
                  <c:v>-99136.493288377926</c:v>
                </c:pt>
                <c:pt idx="2">
                  <c:v>-99091.177899026094</c:v>
                </c:pt>
                <c:pt idx="3">
                  <c:v>-99091.177899026094</c:v>
                </c:pt>
                <c:pt idx="4">
                  <c:v>-99118.092806642468</c:v>
                </c:pt>
              </c:numCache>
            </c:numRef>
          </c:xVal>
          <c:yVal>
            <c:numRef>
              <c:f>('Background calcs'!$X$78,'Background calcs'!$X$95,'Background calcs'!$X$98,'Background calcs'!$X$101,'Background calcs'!$X$107)</c:f>
              <c:numCache>
                <c:formatCode>General</c:formatCode>
                <c:ptCount val="5"/>
                <c:pt idx="0">
                  <c:v>-99388.5</c:v>
                </c:pt>
                <c:pt idx="1">
                  <c:v>-99335.650520289695</c:v>
                </c:pt>
                <c:pt idx="2">
                  <c:v>-99314.519607202659</c:v>
                </c:pt>
                <c:pt idx="3">
                  <c:v>-99302.519607202659</c:v>
                </c:pt>
                <c:pt idx="4">
                  <c:v>-99284.436183057347</c:v>
                </c:pt>
              </c:numCache>
            </c:numRef>
          </c:yVal>
          <c:smooth val="0"/>
          <c:extLst>
            <c:ext xmlns:c16="http://schemas.microsoft.com/office/drawing/2014/chart" uri="{C3380CC4-5D6E-409C-BE32-E72D297353CC}">
              <c16:uniqueId val="{00000014-5414-4B96-AC52-4D49445FA07D}"/>
            </c:ext>
          </c:extLst>
        </c:ser>
        <c:ser>
          <c:idx val="51"/>
          <c:order val="51"/>
          <c:tx>
            <c:v>5_P</c:v>
          </c:tx>
          <c:spPr>
            <a:ln>
              <a:solidFill>
                <a:schemeClr val="tx1"/>
              </a:solidFill>
            </a:ln>
          </c:spPr>
          <c:marker>
            <c:symbol val="none"/>
          </c:marker>
          <c:xVal>
            <c:numRef>
              <c:f>('Background calcs'!$X$71,'Background calcs'!$X$108,'Background calcs'!$X$110,'Background calcs'!$X$112)</c:f>
              <c:numCache>
                <c:formatCode>General</c:formatCode>
                <c:ptCount val="4"/>
                <c:pt idx="0">
                  <c:v>-99530.140712553213</c:v>
                </c:pt>
                <c:pt idx="1">
                  <c:v>-99530.140712553213</c:v>
                </c:pt>
                <c:pt idx="2">
                  <c:v>-99480.140712553213</c:v>
                </c:pt>
                <c:pt idx="3">
                  <c:v>-99580.140712553213</c:v>
                </c:pt>
              </c:numCache>
            </c:numRef>
          </c:xVal>
          <c:yVal>
            <c:numRef>
              <c:f>('Background calcs'!$X$72,'Background calcs'!$X$109,'Background calcs'!$X$111,'Background calcs'!$X$113)</c:f>
              <c:numCache>
                <c:formatCode>General</c:formatCode>
                <c:ptCount val="4"/>
                <c:pt idx="0">
                  <c:v>-100011.5</c:v>
                </c:pt>
                <c:pt idx="1">
                  <c:v>-100186.5</c:v>
                </c:pt>
                <c:pt idx="2">
                  <c:v>-100186.5</c:v>
                </c:pt>
                <c:pt idx="3">
                  <c:v>-100186.5</c:v>
                </c:pt>
              </c:numCache>
            </c:numRef>
          </c:yVal>
          <c:smooth val="0"/>
          <c:extLst>
            <c:ext xmlns:c16="http://schemas.microsoft.com/office/drawing/2014/chart" uri="{C3380CC4-5D6E-409C-BE32-E72D297353CC}">
              <c16:uniqueId val="{00000015-5414-4B96-AC52-4D49445FA07D}"/>
            </c:ext>
          </c:extLst>
        </c:ser>
        <c:ser>
          <c:idx val="52"/>
          <c:order val="52"/>
          <c:tx>
            <c:v>5_r</c:v>
          </c:tx>
          <c:spPr>
            <a:ln>
              <a:solidFill>
                <a:schemeClr val="tx1"/>
              </a:solidFill>
            </a:ln>
          </c:spPr>
          <c:marker>
            <c:symbol val="none"/>
          </c:marker>
          <c:xVal>
            <c:numRef>
              <c:f>'Background calcs'!$X$155:$X$227</c:f>
              <c:numCache>
                <c:formatCode>General</c:formatCode>
                <c:ptCount val="73"/>
                <c:pt idx="0">
                  <c:v>-99617.5</c:v>
                </c:pt>
                <c:pt idx="1">
                  <c:v>-99618.95552797991</c:v>
                </c:pt>
                <c:pt idx="2">
                  <c:v>-99623.311034472834</c:v>
                </c:pt>
                <c:pt idx="3">
                  <c:v>-99630.533371444428</c:v>
                </c:pt>
                <c:pt idx="4">
                  <c:v>-99640.567572549393</c:v>
                </c:pt>
                <c:pt idx="5">
                  <c:v>-99653.337271458484</c:v>
                </c:pt>
                <c:pt idx="6">
                  <c:v>-99668.745283052456</c:v>
                </c:pt>
                <c:pt idx="7">
                  <c:v>-99686.674343059465</c:v>
                </c:pt>
                <c:pt idx="8">
                  <c:v>-99706.988000506986</c:v>
                </c:pt>
                <c:pt idx="9">
                  <c:v>-99729.531656196152</c:v>
                </c:pt>
                <c:pt idx="10">
                  <c:v>-99754.133739294892</c:v>
                </c:pt>
                <c:pt idx="11">
                  <c:v>-99780.607013095723</c:v>
                </c:pt>
                <c:pt idx="12">
                  <c:v>-99808.75</c:v>
                </c:pt>
                <c:pt idx="13">
                  <c:v>-99838.348514884186</c:v>
                </c:pt>
                <c:pt idx="14">
                  <c:v>-99869.177295177928</c:v>
                </c:pt>
                <c:pt idx="15">
                  <c:v>-99901.001715248291</c:v>
                </c:pt>
                <c:pt idx="16">
                  <c:v>-99933.579572042392</c:v>
                </c:pt>
                <c:pt idx="17">
                  <c:v>-99966.662928399019</c:v>
                </c:pt>
                <c:pt idx="18">
                  <c:v>-100000</c:v>
                </c:pt>
                <c:pt idx="19">
                  <c:v>-100033.33707160098</c:v>
                </c:pt>
                <c:pt idx="20">
                  <c:v>-100066.42042795761</c:v>
                </c:pt>
                <c:pt idx="21">
                  <c:v>-100098.99828475171</c:v>
                </c:pt>
                <c:pt idx="22">
                  <c:v>-100130.82270482207</c:v>
                </c:pt>
                <c:pt idx="23">
                  <c:v>-100161.65148511581</c:v>
                </c:pt>
                <c:pt idx="24">
                  <c:v>-100191.25</c:v>
                </c:pt>
                <c:pt idx="25">
                  <c:v>-100219.39298690428</c:v>
                </c:pt>
                <c:pt idx="26">
                  <c:v>-100245.86626070511</c:v>
                </c:pt>
                <c:pt idx="27">
                  <c:v>-100270.46834380385</c:v>
                </c:pt>
                <c:pt idx="28">
                  <c:v>-100293.01199949301</c:v>
                </c:pt>
                <c:pt idx="29">
                  <c:v>-100313.32565694053</c:v>
                </c:pt>
                <c:pt idx="30">
                  <c:v>-100331.25471694754</c:v>
                </c:pt>
                <c:pt idx="31">
                  <c:v>-100346.66272854152</c:v>
                </c:pt>
                <c:pt idx="32">
                  <c:v>-100359.43242745061</c:v>
                </c:pt>
                <c:pt idx="33">
                  <c:v>-100369.46662855557</c:v>
                </c:pt>
                <c:pt idx="34">
                  <c:v>-100376.68896552717</c:v>
                </c:pt>
                <c:pt idx="35">
                  <c:v>-100381.04447202009</c:v>
                </c:pt>
                <c:pt idx="36">
                  <c:v>-100382.5</c:v>
                </c:pt>
                <c:pt idx="37">
                  <c:v>-100381.04447202009</c:v>
                </c:pt>
                <c:pt idx="38">
                  <c:v>-100376.68896552717</c:v>
                </c:pt>
                <c:pt idx="39">
                  <c:v>-100369.46662855557</c:v>
                </c:pt>
                <c:pt idx="40">
                  <c:v>-100359.43242745061</c:v>
                </c:pt>
                <c:pt idx="41">
                  <c:v>-100346.66272854152</c:v>
                </c:pt>
                <c:pt idx="42">
                  <c:v>-100331.25471694754</c:v>
                </c:pt>
                <c:pt idx="43">
                  <c:v>-100313.32565694053</c:v>
                </c:pt>
                <c:pt idx="44">
                  <c:v>-100293.01199949301</c:v>
                </c:pt>
                <c:pt idx="45">
                  <c:v>-100270.46834380385</c:v>
                </c:pt>
                <c:pt idx="46">
                  <c:v>-100245.86626070511</c:v>
                </c:pt>
                <c:pt idx="47">
                  <c:v>-100219.39298690428</c:v>
                </c:pt>
                <c:pt idx="48">
                  <c:v>-100191.25</c:v>
                </c:pt>
                <c:pt idx="49">
                  <c:v>-100161.65148511581</c:v>
                </c:pt>
                <c:pt idx="50">
                  <c:v>-100130.82270482207</c:v>
                </c:pt>
                <c:pt idx="51">
                  <c:v>-100098.99828475171</c:v>
                </c:pt>
                <c:pt idx="52">
                  <c:v>-100066.42042795761</c:v>
                </c:pt>
                <c:pt idx="53">
                  <c:v>-100033.33707160098</c:v>
                </c:pt>
                <c:pt idx="54">
                  <c:v>-100000</c:v>
                </c:pt>
                <c:pt idx="55">
                  <c:v>-99966.662928399019</c:v>
                </c:pt>
                <c:pt idx="56">
                  <c:v>-99933.579572042392</c:v>
                </c:pt>
                <c:pt idx="57">
                  <c:v>-99901.001715248291</c:v>
                </c:pt>
                <c:pt idx="58">
                  <c:v>-99869.177295177928</c:v>
                </c:pt>
                <c:pt idx="59">
                  <c:v>-99838.348514884186</c:v>
                </c:pt>
                <c:pt idx="60">
                  <c:v>-99808.75</c:v>
                </c:pt>
                <c:pt idx="61">
                  <c:v>-99780.607013095723</c:v>
                </c:pt>
                <c:pt idx="62">
                  <c:v>-99754.133739294892</c:v>
                </c:pt>
                <c:pt idx="63">
                  <c:v>-99729.531656196152</c:v>
                </c:pt>
                <c:pt idx="64">
                  <c:v>-99706.988000506986</c:v>
                </c:pt>
                <c:pt idx="65">
                  <c:v>-99686.674343059465</c:v>
                </c:pt>
                <c:pt idx="66">
                  <c:v>-99668.745283052456</c:v>
                </c:pt>
                <c:pt idx="67">
                  <c:v>-99653.337271458484</c:v>
                </c:pt>
                <c:pt idx="68">
                  <c:v>-99640.567572549393</c:v>
                </c:pt>
                <c:pt idx="69">
                  <c:v>-99630.533371444428</c:v>
                </c:pt>
                <c:pt idx="70">
                  <c:v>-99623.311034472834</c:v>
                </c:pt>
                <c:pt idx="71">
                  <c:v>-99618.95552797991</c:v>
                </c:pt>
                <c:pt idx="72">
                  <c:v>-99617.5</c:v>
                </c:pt>
              </c:numCache>
            </c:numRef>
          </c:xVal>
          <c:yVal>
            <c:numRef>
              <c:f>'Background calcs'!$X$229:$X$301</c:f>
              <c:numCache>
                <c:formatCode>General</c:formatCode>
                <c:ptCount val="73"/>
                <c:pt idx="0">
                  <c:v>-100000</c:v>
                </c:pt>
                <c:pt idx="1">
                  <c:v>-99966.662928399019</c:v>
                </c:pt>
                <c:pt idx="2">
                  <c:v>-99933.579572042392</c:v>
                </c:pt>
                <c:pt idx="3">
                  <c:v>-99901.001715248291</c:v>
                </c:pt>
                <c:pt idx="4">
                  <c:v>-99869.177295177928</c:v>
                </c:pt>
                <c:pt idx="5">
                  <c:v>-99838.348514884186</c:v>
                </c:pt>
                <c:pt idx="6">
                  <c:v>-99808.75</c:v>
                </c:pt>
                <c:pt idx="7">
                  <c:v>-99780.607013095723</c:v>
                </c:pt>
                <c:pt idx="8">
                  <c:v>-99754.133739294892</c:v>
                </c:pt>
                <c:pt idx="9">
                  <c:v>-99729.531656196152</c:v>
                </c:pt>
                <c:pt idx="10">
                  <c:v>-99706.988000506986</c:v>
                </c:pt>
                <c:pt idx="11">
                  <c:v>-99686.674343059465</c:v>
                </c:pt>
                <c:pt idx="12">
                  <c:v>-99668.745283052456</c:v>
                </c:pt>
                <c:pt idx="13">
                  <c:v>-99653.337271458484</c:v>
                </c:pt>
                <c:pt idx="14">
                  <c:v>-99640.567572549393</c:v>
                </c:pt>
                <c:pt idx="15">
                  <c:v>-99630.533371444428</c:v>
                </c:pt>
                <c:pt idx="16">
                  <c:v>-99623.311034472834</c:v>
                </c:pt>
                <c:pt idx="17">
                  <c:v>-99618.95552797991</c:v>
                </c:pt>
                <c:pt idx="18">
                  <c:v>-99617.5</c:v>
                </c:pt>
                <c:pt idx="19">
                  <c:v>-99618.95552797991</c:v>
                </c:pt>
                <c:pt idx="20">
                  <c:v>-99623.311034472834</c:v>
                </c:pt>
                <c:pt idx="21">
                  <c:v>-99630.533371444428</c:v>
                </c:pt>
                <c:pt idx="22">
                  <c:v>-99640.567572549393</c:v>
                </c:pt>
                <c:pt idx="23">
                  <c:v>-99653.337271458484</c:v>
                </c:pt>
                <c:pt idx="24">
                  <c:v>-99668.745283052456</c:v>
                </c:pt>
                <c:pt idx="25">
                  <c:v>-99686.674343059465</c:v>
                </c:pt>
                <c:pt idx="26">
                  <c:v>-99706.988000506986</c:v>
                </c:pt>
                <c:pt idx="27">
                  <c:v>-99729.531656196152</c:v>
                </c:pt>
                <c:pt idx="28">
                  <c:v>-99754.133739294892</c:v>
                </c:pt>
                <c:pt idx="29">
                  <c:v>-99780.607013095723</c:v>
                </c:pt>
                <c:pt idx="30">
                  <c:v>-99808.75</c:v>
                </c:pt>
                <c:pt idx="31">
                  <c:v>-99838.348514884186</c:v>
                </c:pt>
                <c:pt idx="32">
                  <c:v>-99869.177295177928</c:v>
                </c:pt>
                <c:pt idx="33">
                  <c:v>-99901.001715248291</c:v>
                </c:pt>
                <c:pt idx="34">
                  <c:v>-99933.579572042392</c:v>
                </c:pt>
                <c:pt idx="35">
                  <c:v>-99966.662928399019</c:v>
                </c:pt>
                <c:pt idx="36">
                  <c:v>-100000</c:v>
                </c:pt>
                <c:pt idx="37">
                  <c:v>-100033.33707160098</c:v>
                </c:pt>
                <c:pt idx="38">
                  <c:v>-100066.42042795761</c:v>
                </c:pt>
                <c:pt idx="39">
                  <c:v>-100098.99828475171</c:v>
                </c:pt>
                <c:pt idx="40">
                  <c:v>-100130.82270482207</c:v>
                </c:pt>
                <c:pt idx="41">
                  <c:v>-100161.65148511581</c:v>
                </c:pt>
                <c:pt idx="42">
                  <c:v>-100191.25</c:v>
                </c:pt>
                <c:pt idx="43">
                  <c:v>-100219.39298690428</c:v>
                </c:pt>
                <c:pt idx="44">
                  <c:v>-100245.86626070511</c:v>
                </c:pt>
                <c:pt idx="45">
                  <c:v>-100270.46834380385</c:v>
                </c:pt>
                <c:pt idx="46">
                  <c:v>-100293.01199949301</c:v>
                </c:pt>
                <c:pt idx="47">
                  <c:v>-100313.32565694053</c:v>
                </c:pt>
                <c:pt idx="48">
                  <c:v>-100331.25471694754</c:v>
                </c:pt>
                <c:pt idx="49">
                  <c:v>-100346.66272854152</c:v>
                </c:pt>
                <c:pt idx="50">
                  <c:v>-100359.43242745061</c:v>
                </c:pt>
                <c:pt idx="51">
                  <c:v>-100369.46662855557</c:v>
                </c:pt>
                <c:pt idx="52">
                  <c:v>-100376.68896552717</c:v>
                </c:pt>
                <c:pt idx="53">
                  <c:v>-100381.04447202009</c:v>
                </c:pt>
                <c:pt idx="54">
                  <c:v>-100382.5</c:v>
                </c:pt>
                <c:pt idx="55">
                  <c:v>-100381.04447202009</c:v>
                </c:pt>
                <c:pt idx="56">
                  <c:v>-100376.68896552717</c:v>
                </c:pt>
                <c:pt idx="57">
                  <c:v>-100369.46662855557</c:v>
                </c:pt>
                <c:pt idx="58">
                  <c:v>-100359.43242745061</c:v>
                </c:pt>
                <c:pt idx="59">
                  <c:v>-100346.66272854152</c:v>
                </c:pt>
                <c:pt idx="60">
                  <c:v>-100331.25471694754</c:v>
                </c:pt>
                <c:pt idx="61">
                  <c:v>-100313.32565694053</c:v>
                </c:pt>
                <c:pt idx="62">
                  <c:v>-100293.01199949301</c:v>
                </c:pt>
                <c:pt idx="63">
                  <c:v>-100270.46834380385</c:v>
                </c:pt>
                <c:pt idx="64">
                  <c:v>-100245.86626070511</c:v>
                </c:pt>
                <c:pt idx="65">
                  <c:v>-100219.39298690428</c:v>
                </c:pt>
                <c:pt idx="66">
                  <c:v>-100191.25</c:v>
                </c:pt>
                <c:pt idx="67">
                  <c:v>-100161.65148511581</c:v>
                </c:pt>
                <c:pt idx="68">
                  <c:v>-100130.82270482207</c:v>
                </c:pt>
                <c:pt idx="69">
                  <c:v>-100098.99828475171</c:v>
                </c:pt>
                <c:pt idx="70">
                  <c:v>-100066.42042795761</c:v>
                </c:pt>
                <c:pt idx="71">
                  <c:v>-100033.33707160098</c:v>
                </c:pt>
                <c:pt idx="72">
                  <c:v>-100000</c:v>
                </c:pt>
              </c:numCache>
            </c:numRef>
          </c:yVal>
          <c:smooth val="0"/>
          <c:extLst>
            <c:ext xmlns:c16="http://schemas.microsoft.com/office/drawing/2014/chart" uri="{C3380CC4-5D6E-409C-BE32-E72D297353CC}">
              <c16:uniqueId val="{00000016-5414-4B96-AC52-4D49445FA07D}"/>
            </c:ext>
          </c:extLst>
        </c:ser>
        <c:ser>
          <c:idx val="53"/>
          <c:order val="53"/>
          <c:tx>
            <c:v>5_f</c:v>
          </c:tx>
          <c:spPr>
            <a:ln>
              <a:solidFill>
                <a:schemeClr val="tx1"/>
              </a:solidFill>
            </a:ln>
          </c:spPr>
          <c:marker>
            <c:symbol val="none"/>
          </c:marker>
          <c:xVal>
            <c:numRef>
              <c:f>'Background calcs'!$X$304:$X$376</c:f>
              <c:numCache>
                <c:formatCode>General</c:formatCode>
                <c:ptCount val="73"/>
                <c:pt idx="0">
                  <c:v>-98430.573403578455</c:v>
                </c:pt>
                <c:pt idx="1">
                  <c:v>-98432.028931558365</c:v>
                </c:pt>
                <c:pt idx="2">
                  <c:v>-98436.384438051289</c:v>
                </c:pt>
                <c:pt idx="3">
                  <c:v>-98443.606775022883</c:v>
                </c:pt>
                <c:pt idx="4">
                  <c:v>-98453.640976127848</c:v>
                </c:pt>
                <c:pt idx="5">
                  <c:v>-98466.410675036939</c:v>
                </c:pt>
                <c:pt idx="6">
                  <c:v>-98481.818686630912</c:v>
                </c:pt>
                <c:pt idx="7">
                  <c:v>-98499.74774663792</c:v>
                </c:pt>
                <c:pt idx="8">
                  <c:v>-98520.061404085442</c:v>
                </c:pt>
                <c:pt idx="9">
                  <c:v>-98542.605059774607</c:v>
                </c:pt>
                <c:pt idx="10">
                  <c:v>-98567.207142873347</c:v>
                </c:pt>
                <c:pt idx="11">
                  <c:v>-98593.680416674179</c:v>
                </c:pt>
                <c:pt idx="12">
                  <c:v>-98621.823403578455</c:v>
                </c:pt>
                <c:pt idx="13">
                  <c:v>-98651.421918462642</c:v>
                </c:pt>
                <c:pt idx="14">
                  <c:v>-98682.250698756383</c:v>
                </c:pt>
                <c:pt idx="15">
                  <c:v>-98714.075118826746</c:v>
                </c:pt>
                <c:pt idx="16">
                  <c:v>-98746.652975620847</c:v>
                </c:pt>
                <c:pt idx="17">
                  <c:v>-98779.736331977474</c:v>
                </c:pt>
                <c:pt idx="18">
                  <c:v>-98813.073403578455</c:v>
                </c:pt>
                <c:pt idx="19">
                  <c:v>-98846.410475179437</c:v>
                </c:pt>
                <c:pt idx="20">
                  <c:v>-98879.493831536063</c:v>
                </c:pt>
                <c:pt idx="21">
                  <c:v>-98912.071688330165</c:v>
                </c:pt>
                <c:pt idx="22">
                  <c:v>-98943.896108400528</c:v>
                </c:pt>
                <c:pt idx="23">
                  <c:v>-98974.724888694269</c:v>
                </c:pt>
                <c:pt idx="24">
                  <c:v>-99004.323403578455</c:v>
                </c:pt>
                <c:pt idx="25">
                  <c:v>-99032.466390482732</c:v>
                </c:pt>
                <c:pt idx="26">
                  <c:v>-99058.939664283564</c:v>
                </c:pt>
                <c:pt idx="27">
                  <c:v>-99083.541747382304</c:v>
                </c:pt>
                <c:pt idx="28">
                  <c:v>-99106.085403071469</c:v>
                </c:pt>
                <c:pt idx="29">
                  <c:v>-99126.39906051899</c:v>
                </c:pt>
                <c:pt idx="30">
                  <c:v>-99144.328120525999</c:v>
                </c:pt>
                <c:pt idx="31">
                  <c:v>-99159.736132119971</c:v>
                </c:pt>
                <c:pt idx="32">
                  <c:v>-99172.505831029062</c:v>
                </c:pt>
                <c:pt idx="33">
                  <c:v>-99182.540032134028</c:v>
                </c:pt>
                <c:pt idx="34">
                  <c:v>-99189.762369105621</c:v>
                </c:pt>
                <c:pt idx="35">
                  <c:v>-99194.117875598546</c:v>
                </c:pt>
                <c:pt idx="36">
                  <c:v>-99195.573403578455</c:v>
                </c:pt>
                <c:pt idx="37">
                  <c:v>-99194.117875598546</c:v>
                </c:pt>
                <c:pt idx="38">
                  <c:v>-99189.762369105621</c:v>
                </c:pt>
                <c:pt idx="39">
                  <c:v>-99182.540032134028</c:v>
                </c:pt>
                <c:pt idx="40">
                  <c:v>-99172.505831029062</c:v>
                </c:pt>
                <c:pt idx="41">
                  <c:v>-99159.736132119971</c:v>
                </c:pt>
                <c:pt idx="42">
                  <c:v>-99144.328120525999</c:v>
                </c:pt>
                <c:pt idx="43">
                  <c:v>-99126.39906051899</c:v>
                </c:pt>
                <c:pt idx="44">
                  <c:v>-99106.085403071469</c:v>
                </c:pt>
                <c:pt idx="45">
                  <c:v>-99083.541747382304</c:v>
                </c:pt>
                <c:pt idx="46">
                  <c:v>-99058.939664283564</c:v>
                </c:pt>
                <c:pt idx="47">
                  <c:v>-99032.466390482732</c:v>
                </c:pt>
                <c:pt idx="48">
                  <c:v>-99004.323403578455</c:v>
                </c:pt>
                <c:pt idx="49">
                  <c:v>-98974.724888694269</c:v>
                </c:pt>
                <c:pt idx="50">
                  <c:v>-98943.896108400528</c:v>
                </c:pt>
                <c:pt idx="51">
                  <c:v>-98912.071688330165</c:v>
                </c:pt>
                <c:pt idx="52">
                  <c:v>-98879.493831536063</c:v>
                </c:pt>
                <c:pt idx="53">
                  <c:v>-98846.410475179437</c:v>
                </c:pt>
                <c:pt idx="54">
                  <c:v>-98813.073403578455</c:v>
                </c:pt>
                <c:pt idx="55">
                  <c:v>-98779.736331977474</c:v>
                </c:pt>
                <c:pt idx="56">
                  <c:v>-98746.652975620847</c:v>
                </c:pt>
                <c:pt idx="57">
                  <c:v>-98714.075118826746</c:v>
                </c:pt>
                <c:pt idx="58">
                  <c:v>-98682.250698756383</c:v>
                </c:pt>
                <c:pt idx="59">
                  <c:v>-98651.421918462642</c:v>
                </c:pt>
                <c:pt idx="60">
                  <c:v>-98621.823403578455</c:v>
                </c:pt>
                <c:pt idx="61">
                  <c:v>-98593.680416674179</c:v>
                </c:pt>
                <c:pt idx="62">
                  <c:v>-98567.207142873347</c:v>
                </c:pt>
                <c:pt idx="63">
                  <c:v>-98542.605059774607</c:v>
                </c:pt>
                <c:pt idx="64">
                  <c:v>-98520.061404085442</c:v>
                </c:pt>
                <c:pt idx="65">
                  <c:v>-98499.74774663792</c:v>
                </c:pt>
                <c:pt idx="66">
                  <c:v>-98481.818686630912</c:v>
                </c:pt>
                <c:pt idx="67">
                  <c:v>-98466.410675036939</c:v>
                </c:pt>
                <c:pt idx="68">
                  <c:v>-98453.640976127848</c:v>
                </c:pt>
                <c:pt idx="69">
                  <c:v>-98443.606775022883</c:v>
                </c:pt>
                <c:pt idx="70">
                  <c:v>-98436.384438051289</c:v>
                </c:pt>
                <c:pt idx="71">
                  <c:v>-98432.028931558365</c:v>
                </c:pt>
                <c:pt idx="72">
                  <c:v>-98430.573403578455</c:v>
                </c:pt>
              </c:numCache>
            </c:numRef>
          </c:xVal>
          <c:yVal>
            <c:numRef>
              <c:f>'Background calcs'!$X$378:$X$450</c:f>
              <c:numCache>
                <c:formatCode>General</c:formatCode>
                <c:ptCount val="73"/>
                <c:pt idx="0">
                  <c:v>-100000</c:v>
                </c:pt>
                <c:pt idx="1">
                  <c:v>-99966.662928399019</c:v>
                </c:pt>
                <c:pt idx="2">
                  <c:v>-99933.579572042392</c:v>
                </c:pt>
                <c:pt idx="3">
                  <c:v>-99901.001715248291</c:v>
                </c:pt>
                <c:pt idx="4">
                  <c:v>-99869.177295177928</c:v>
                </c:pt>
                <c:pt idx="5">
                  <c:v>-99838.348514884186</c:v>
                </c:pt>
                <c:pt idx="6">
                  <c:v>-99808.75</c:v>
                </c:pt>
                <c:pt idx="7">
                  <c:v>-99780.607013095723</c:v>
                </c:pt>
                <c:pt idx="8">
                  <c:v>-99754.133739294892</c:v>
                </c:pt>
                <c:pt idx="9">
                  <c:v>-99729.531656196152</c:v>
                </c:pt>
                <c:pt idx="10">
                  <c:v>-99706.988000506986</c:v>
                </c:pt>
                <c:pt idx="11">
                  <c:v>-99686.674343059465</c:v>
                </c:pt>
                <c:pt idx="12">
                  <c:v>-99668.745283052456</c:v>
                </c:pt>
                <c:pt idx="13">
                  <c:v>-99653.337271458484</c:v>
                </c:pt>
                <c:pt idx="14">
                  <c:v>-99640.567572549393</c:v>
                </c:pt>
                <c:pt idx="15">
                  <c:v>-99630.533371444428</c:v>
                </c:pt>
                <c:pt idx="16">
                  <c:v>-99623.311034472834</c:v>
                </c:pt>
                <c:pt idx="17">
                  <c:v>-99618.95552797991</c:v>
                </c:pt>
                <c:pt idx="18">
                  <c:v>-99617.5</c:v>
                </c:pt>
                <c:pt idx="19">
                  <c:v>-99618.95552797991</c:v>
                </c:pt>
                <c:pt idx="20">
                  <c:v>-99623.311034472834</c:v>
                </c:pt>
                <c:pt idx="21">
                  <c:v>-99630.533371444428</c:v>
                </c:pt>
                <c:pt idx="22">
                  <c:v>-99640.567572549393</c:v>
                </c:pt>
                <c:pt idx="23">
                  <c:v>-99653.337271458484</c:v>
                </c:pt>
                <c:pt idx="24">
                  <c:v>-99668.745283052456</c:v>
                </c:pt>
                <c:pt idx="25">
                  <c:v>-99686.674343059465</c:v>
                </c:pt>
                <c:pt idx="26">
                  <c:v>-99706.988000506986</c:v>
                </c:pt>
                <c:pt idx="27">
                  <c:v>-99729.531656196152</c:v>
                </c:pt>
                <c:pt idx="28">
                  <c:v>-99754.133739294892</c:v>
                </c:pt>
                <c:pt idx="29">
                  <c:v>-99780.607013095723</c:v>
                </c:pt>
                <c:pt idx="30">
                  <c:v>-99808.75</c:v>
                </c:pt>
                <c:pt idx="31">
                  <c:v>-99838.348514884186</c:v>
                </c:pt>
                <c:pt idx="32">
                  <c:v>-99869.177295177928</c:v>
                </c:pt>
                <c:pt idx="33">
                  <c:v>-99901.001715248291</c:v>
                </c:pt>
                <c:pt idx="34">
                  <c:v>-99933.579572042392</c:v>
                </c:pt>
                <c:pt idx="35">
                  <c:v>-99966.662928399019</c:v>
                </c:pt>
                <c:pt idx="36">
                  <c:v>-100000</c:v>
                </c:pt>
                <c:pt idx="37">
                  <c:v>-100033.33707160098</c:v>
                </c:pt>
                <c:pt idx="38">
                  <c:v>-100066.42042795761</c:v>
                </c:pt>
                <c:pt idx="39">
                  <c:v>-100098.99828475171</c:v>
                </c:pt>
                <c:pt idx="40">
                  <c:v>-100130.82270482207</c:v>
                </c:pt>
                <c:pt idx="41">
                  <c:v>-100161.65148511581</c:v>
                </c:pt>
                <c:pt idx="42">
                  <c:v>-100191.25</c:v>
                </c:pt>
                <c:pt idx="43">
                  <c:v>-100219.39298690428</c:v>
                </c:pt>
                <c:pt idx="44">
                  <c:v>-100245.86626070511</c:v>
                </c:pt>
                <c:pt idx="45">
                  <c:v>-100270.46834380385</c:v>
                </c:pt>
                <c:pt idx="46">
                  <c:v>-100293.01199949301</c:v>
                </c:pt>
                <c:pt idx="47">
                  <c:v>-100313.32565694053</c:v>
                </c:pt>
                <c:pt idx="48">
                  <c:v>-100331.25471694754</c:v>
                </c:pt>
                <c:pt idx="49">
                  <c:v>-100346.66272854152</c:v>
                </c:pt>
                <c:pt idx="50">
                  <c:v>-100359.43242745061</c:v>
                </c:pt>
                <c:pt idx="51">
                  <c:v>-100369.46662855557</c:v>
                </c:pt>
                <c:pt idx="52">
                  <c:v>-100376.68896552717</c:v>
                </c:pt>
                <c:pt idx="53">
                  <c:v>-100381.04447202009</c:v>
                </c:pt>
                <c:pt idx="54">
                  <c:v>-100382.5</c:v>
                </c:pt>
                <c:pt idx="55">
                  <c:v>-100381.04447202009</c:v>
                </c:pt>
                <c:pt idx="56">
                  <c:v>-100376.68896552717</c:v>
                </c:pt>
                <c:pt idx="57">
                  <c:v>-100369.46662855557</c:v>
                </c:pt>
                <c:pt idx="58">
                  <c:v>-100359.43242745061</c:v>
                </c:pt>
                <c:pt idx="59">
                  <c:v>-100346.66272854152</c:v>
                </c:pt>
                <c:pt idx="60">
                  <c:v>-100331.25471694754</c:v>
                </c:pt>
                <c:pt idx="61">
                  <c:v>-100313.32565694053</c:v>
                </c:pt>
                <c:pt idx="62">
                  <c:v>-100293.01199949301</c:v>
                </c:pt>
                <c:pt idx="63">
                  <c:v>-100270.46834380385</c:v>
                </c:pt>
                <c:pt idx="64">
                  <c:v>-100245.86626070511</c:v>
                </c:pt>
                <c:pt idx="65">
                  <c:v>-100219.39298690428</c:v>
                </c:pt>
                <c:pt idx="66">
                  <c:v>-100191.25</c:v>
                </c:pt>
                <c:pt idx="67">
                  <c:v>-100161.65148511581</c:v>
                </c:pt>
                <c:pt idx="68">
                  <c:v>-100130.82270482207</c:v>
                </c:pt>
                <c:pt idx="69">
                  <c:v>-100098.99828475171</c:v>
                </c:pt>
                <c:pt idx="70">
                  <c:v>-100066.42042795761</c:v>
                </c:pt>
                <c:pt idx="71">
                  <c:v>-100033.33707160098</c:v>
                </c:pt>
                <c:pt idx="72">
                  <c:v>-100000</c:v>
                </c:pt>
              </c:numCache>
            </c:numRef>
          </c:yVal>
          <c:smooth val="0"/>
          <c:extLst>
            <c:ext xmlns:c16="http://schemas.microsoft.com/office/drawing/2014/chart" uri="{C3380CC4-5D6E-409C-BE32-E72D297353CC}">
              <c16:uniqueId val="{00000017-5414-4B96-AC52-4D49445FA07D}"/>
            </c:ext>
          </c:extLst>
        </c:ser>
        <c:ser>
          <c:idx val="54"/>
          <c:order val="54"/>
          <c:tx>
            <c:v>5m_F</c:v>
          </c:tx>
          <c:spPr>
            <a:ln>
              <a:solidFill>
                <a:srgbClr val="808080">
                  <a:alpha val="50000"/>
                </a:srgbClr>
              </a:solidFill>
            </a:ln>
          </c:spPr>
          <c:marker>
            <c:symbol val="none"/>
          </c:marker>
          <c:xVal>
            <c:numRef>
              <c:f>('Background calcs'!$Z$120,'Background calcs'!$Z$88,'Background calcs'!$Z$90,'Background calcs'!$Z$69,'Background calcs'!$Z$65,'Background calcs'!$Z$88,'Background calcs'!$Z$75,'Background calcs'!$Z$73,'Background calcs'!$Z$69,'Background calcs'!$Z$73,'Background calcs'!$Z$85)</c:f>
              <c:numCache>
                <c:formatCode>General</c:formatCode>
                <c:ptCount val="11"/>
                <c:pt idx="0">
                  <c:v>-99722.660128020216</c:v>
                </c:pt>
                <c:pt idx="1">
                  <c:v>-99613.426661132398</c:v>
                </c:pt>
                <c:pt idx="2">
                  <c:v>-99529.412155937083</c:v>
                </c:pt>
                <c:pt idx="3">
                  <c:v>-99530.241576642904</c:v>
                </c:pt>
                <c:pt idx="4">
                  <c:v>-100000</c:v>
                </c:pt>
                <c:pt idx="5">
                  <c:v>-99613.426661132398</c:v>
                </c:pt>
                <c:pt idx="6">
                  <c:v>-99114.745035284723</c:v>
                </c:pt>
                <c:pt idx="7">
                  <c:v>-99062.740866758904</c:v>
                </c:pt>
                <c:pt idx="8">
                  <c:v>-99530.241576642904</c:v>
                </c:pt>
                <c:pt idx="9">
                  <c:v>-99062.740866758904</c:v>
                </c:pt>
                <c:pt idx="10">
                  <c:v>-98796.058572830341</c:v>
                </c:pt>
              </c:numCache>
            </c:numRef>
          </c:xVal>
          <c:yVal>
            <c:numRef>
              <c:f>('Background calcs'!$Z$121,'Background calcs'!$Z$87,'Background calcs'!$Z$91,'Background calcs'!$Z$70,'Background calcs'!$Z$66,'Background calcs'!$Z$87,'Background calcs'!$Z$76,'Background calcs'!$Z$74,'Background calcs'!$Z$70,'Background calcs'!$Z$74,'Background calcs'!$Z$81)</c:f>
              <c:numCache>
                <c:formatCode>General</c:formatCode>
                <c:ptCount val="11"/>
                <c:pt idx="0">
                  <c:v>-99295.345066325535</c:v>
                </c:pt>
                <c:pt idx="1">
                  <c:v>-99640.424881810439</c:v>
                </c:pt>
                <c:pt idx="2">
                  <c:v>-99905.835389934524</c:v>
                </c:pt>
                <c:pt idx="3">
                  <c:v>-100015.06730516901</c:v>
                </c:pt>
                <c:pt idx="4">
                  <c:v>-100000</c:v>
                </c:pt>
                <c:pt idx="5">
                  <c:v>-99640.424881810439</c:v>
                </c:pt>
                <c:pt idx="6">
                  <c:v>-99396.904947783914</c:v>
                </c:pt>
                <c:pt idx="7">
                  <c:v>-99516.136551531978</c:v>
                </c:pt>
                <c:pt idx="8">
                  <c:v>-100015.06730516901</c:v>
                </c:pt>
                <c:pt idx="9">
                  <c:v>-99516.136551531978</c:v>
                </c:pt>
                <c:pt idx="10">
                  <c:v>-100000</c:v>
                </c:pt>
              </c:numCache>
            </c:numRef>
          </c:yVal>
          <c:smooth val="0"/>
          <c:extLst>
            <c:ext xmlns:c16="http://schemas.microsoft.com/office/drawing/2014/chart" uri="{C3380CC4-5D6E-409C-BE32-E72D297353CC}">
              <c16:uniqueId val="{00000019-5414-4B96-AC52-4D49445FA07D}"/>
            </c:ext>
          </c:extLst>
        </c:ser>
        <c:ser>
          <c:idx val="55"/>
          <c:order val="55"/>
          <c:tx>
            <c:v>5m_S</c:v>
          </c:tx>
          <c:spPr>
            <a:ln>
              <a:solidFill>
                <a:srgbClr val="808080">
                  <a:alpha val="50000"/>
                </a:srgbClr>
              </a:solidFill>
            </a:ln>
          </c:spPr>
          <c:marker>
            <c:symbol val="none"/>
          </c:marker>
          <c:xVal>
            <c:numRef>
              <c:f>('Background calcs'!$Z$116,'Background calcs'!$Z$118)</c:f>
              <c:numCache>
                <c:formatCode>General</c:formatCode>
                <c:ptCount val="2"/>
                <c:pt idx="0">
                  <c:v>-99614.660128020216</c:v>
                </c:pt>
                <c:pt idx="1">
                  <c:v>-99794.660128020216</c:v>
                </c:pt>
              </c:numCache>
            </c:numRef>
          </c:xVal>
          <c:yVal>
            <c:numRef>
              <c:f>('Background calcs'!$Z$117,'Background calcs'!$Z$119)</c:f>
              <c:numCache>
                <c:formatCode>General</c:formatCode>
                <c:ptCount val="2"/>
                <c:pt idx="0">
                  <c:v>-99295.345066325535</c:v>
                </c:pt>
                <c:pt idx="1">
                  <c:v>-99295.345066325535</c:v>
                </c:pt>
              </c:numCache>
            </c:numRef>
          </c:yVal>
          <c:smooth val="0"/>
          <c:extLst>
            <c:ext xmlns:c16="http://schemas.microsoft.com/office/drawing/2014/chart" uri="{C3380CC4-5D6E-409C-BE32-E72D297353CC}">
              <c16:uniqueId val="{0000001A-5414-4B96-AC52-4D49445FA07D}"/>
            </c:ext>
          </c:extLst>
        </c:ser>
        <c:ser>
          <c:idx val="56"/>
          <c:order val="56"/>
          <c:tx>
            <c:v>5m_C</c:v>
          </c:tx>
          <c:marker>
            <c:symbol val="none"/>
          </c:marker>
          <c:xVal>
            <c:numRef>
              <c:f>('Background calcs'!$Z$77,'Background calcs'!$Z$94,'Background calcs'!$Z$97,'Background calcs'!$Z$100,'Background calcs'!$Z$106)</c:f>
              <c:numCache>
                <c:formatCode>General</c:formatCode>
                <c:ptCount val="5"/>
                <c:pt idx="0">
                  <c:v>-99114.745035284723</c:v>
                </c:pt>
                <c:pt idx="1">
                  <c:v>-99137.532972765606</c:v>
                </c:pt>
                <c:pt idx="2">
                  <c:v>-99092.811573558545</c:v>
                </c:pt>
                <c:pt idx="3">
                  <c:v>-99092.811573558545</c:v>
                </c:pt>
                <c:pt idx="4">
                  <c:v>-99119.726481174919</c:v>
                </c:pt>
              </c:numCache>
            </c:numRef>
          </c:xVal>
          <c:yVal>
            <c:numRef>
              <c:f>('Background calcs'!$Z$78,'Background calcs'!$Z$95,'Background calcs'!$Z$98,'Background calcs'!$Z$101,'Background calcs'!$Z$107)</c:f>
              <c:numCache>
                <c:formatCode>General</c:formatCode>
                <c:ptCount val="5"/>
                <c:pt idx="0">
                  <c:v>-99396.904947783914</c:v>
                </c:pt>
                <c:pt idx="1">
                  <c:v>-99344.658322004179</c:v>
                </c:pt>
                <c:pt idx="2">
                  <c:v>-99322.29772154348</c:v>
                </c:pt>
                <c:pt idx="3">
                  <c:v>-99310.29772154348</c:v>
                </c:pt>
                <c:pt idx="4">
                  <c:v>-99292.214297398183</c:v>
                </c:pt>
              </c:numCache>
            </c:numRef>
          </c:yVal>
          <c:smooth val="0"/>
          <c:extLst>
            <c:ext xmlns:c16="http://schemas.microsoft.com/office/drawing/2014/chart" uri="{C3380CC4-5D6E-409C-BE32-E72D297353CC}">
              <c16:uniqueId val="{0000001B-5414-4B96-AC52-4D49445FA07D}"/>
            </c:ext>
          </c:extLst>
        </c:ser>
        <c:ser>
          <c:idx val="57"/>
          <c:order val="57"/>
          <c:tx>
            <c:v>5m_P</c:v>
          </c:tx>
          <c:spPr>
            <a:ln>
              <a:solidFill>
                <a:srgbClr val="808080">
                  <a:alpha val="50000"/>
                </a:srgbClr>
              </a:solidFill>
            </a:ln>
          </c:spPr>
          <c:marker>
            <c:symbol val="none"/>
          </c:marker>
          <c:xVal>
            <c:numRef>
              <c:f>('Background calcs'!$Z$71,'Background calcs'!$Z$108,'Background calcs'!$Z$110,'Background calcs'!$Z$112)</c:f>
              <c:numCache>
                <c:formatCode>General</c:formatCode>
                <c:ptCount val="4"/>
                <c:pt idx="0">
                  <c:v>-99530.241576642904</c:v>
                </c:pt>
                <c:pt idx="1">
                  <c:v>-99530.241576642904</c:v>
                </c:pt>
                <c:pt idx="2">
                  <c:v>-99480.241576642904</c:v>
                </c:pt>
                <c:pt idx="3">
                  <c:v>-99580.241576642904</c:v>
                </c:pt>
              </c:numCache>
            </c:numRef>
          </c:xVal>
          <c:yVal>
            <c:numRef>
              <c:f>('Background calcs'!$Z$72,'Background calcs'!$Z$109,'Background calcs'!$Z$111,'Background calcs'!$Z$113)</c:f>
              <c:numCache>
                <c:formatCode>General</c:formatCode>
                <c:ptCount val="4"/>
                <c:pt idx="0">
                  <c:v>-100015.06730516901</c:v>
                </c:pt>
                <c:pt idx="1">
                  <c:v>-100190.06730516901</c:v>
                </c:pt>
                <c:pt idx="2">
                  <c:v>-100190.06730516901</c:v>
                </c:pt>
                <c:pt idx="3">
                  <c:v>-100190.06730516901</c:v>
                </c:pt>
              </c:numCache>
            </c:numRef>
          </c:yVal>
          <c:smooth val="0"/>
          <c:extLst>
            <c:ext xmlns:c16="http://schemas.microsoft.com/office/drawing/2014/chart" uri="{C3380CC4-5D6E-409C-BE32-E72D297353CC}">
              <c16:uniqueId val="{0000001C-5414-4B96-AC52-4D49445FA07D}"/>
            </c:ext>
          </c:extLst>
        </c:ser>
        <c:ser>
          <c:idx val="58"/>
          <c:order val="58"/>
          <c:tx>
            <c:v>5m_r</c:v>
          </c:tx>
          <c:spPr>
            <a:ln>
              <a:solidFill>
                <a:srgbClr val="808080">
                  <a:alpha val="50000"/>
                </a:srgbClr>
              </a:solidFill>
            </a:ln>
          </c:spPr>
          <c:marker>
            <c:symbol val="none"/>
          </c:marker>
          <c:xVal>
            <c:numRef>
              <c:f>'Background calcs'!$Z$155:$Z$227</c:f>
              <c:numCache>
                <c:formatCode>General</c:formatCode>
                <c:ptCount val="73"/>
                <c:pt idx="0">
                  <c:v>-99617.5</c:v>
                </c:pt>
                <c:pt idx="1">
                  <c:v>-99618.95552797991</c:v>
                </c:pt>
                <c:pt idx="2">
                  <c:v>-99623.311034472834</c:v>
                </c:pt>
                <c:pt idx="3">
                  <c:v>-99630.533371444428</c:v>
                </c:pt>
                <c:pt idx="4">
                  <c:v>-99640.567572549393</c:v>
                </c:pt>
                <c:pt idx="5">
                  <c:v>-99653.337271458484</c:v>
                </c:pt>
                <c:pt idx="6">
                  <c:v>-99668.745283052456</c:v>
                </c:pt>
                <c:pt idx="7">
                  <c:v>-99686.674343059465</c:v>
                </c:pt>
                <c:pt idx="8">
                  <c:v>-99706.988000506986</c:v>
                </c:pt>
                <c:pt idx="9">
                  <c:v>-99729.531656196152</c:v>
                </c:pt>
                <c:pt idx="10">
                  <c:v>-99754.133739294892</c:v>
                </c:pt>
                <c:pt idx="11">
                  <c:v>-99780.607013095723</c:v>
                </c:pt>
                <c:pt idx="12">
                  <c:v>-99808.75</c:v>
                </c:pt>
                <c:pt idx="13">
                  <c:v>-99838.348514884186</c:v>
                </c:pt>
                <c:pt idx="14">
                  <c:v>-99869.177295177928</c:v>
                </c:pt>
                <c:pt idx="15">
                  <c:v>-99901.001715248291</c:v>
                </c:pt>
                <c:pt idx="16">
                  <c:v>-99933.579572042392</c:v>
                </c:pt>
                <c:pt idx="17">
                  <c:v>-99966.662928399019</c:v>
                </c:pt>
                <c:pt idx="18">
                  <c:v>-100000</c:v>
                </c:pt>
                <c:pt idx="19">
                  <c:v>-100033.33707160098</c:v>
                </c:pt>
                <c:pt idx="20">
                  <c:v>-100066.42042795761</c:v>
                </c:pt>
                <c:pt idx="21">
                  <c:v>-100098.99828475171</c:v>
                </c:pt>
                <c:pt idx="22">
                  <c:v>-100130.82270482207</c:v>
                </c:pt>
                <c:pt idx="23">
                  <c:v>-100161.65148511581</c:v>
                </c:pt>
                <c:pt idx="24">
                  <c:v>-100191.25</c:v>
                </c:pt>
                <c:pt idx="25">
                  <c:v>-100219.39298690428</c:v>
                </c:pt>
                <c:pt idx="26">
                  <c:v>-100245.86626070511</c:v>
                </c:pt>
                <c:pt idx="27">
                  <c:v>-100270.46834380385</c:v>
                </c:pt>
                <c:pt idx="28">
                  <c:v>-100293.01199949301</c:v>
                </c:pt>
                <c:pt idx="29">
                  <c:v>-100313.32565694053</c:v>
                </c:pt>
                <c:pt idx="30">
                  <c:v>-100331.25471694754</c:v>
                </c:pt>
                <c:pt idx="31">
                  <c:v>-100346.66272854152</c:v>
                </c:pt>
                <c:pt idx="32">
                  <c:v>-100359.43242745061</c:v>
                </c:pt>
                <c:pt idx="33">
                  <c:v>-100369.46662855557</c:v>
                </c:pt>
                <c:pt idx="34">
                  <c:v>-100376.68896552717</c:v>
                </c:pt>
                <c:pt idx="35">
                  <c:v>-100381.04447202009</c:v>
                </c:pt>
                <c:pt idx="36">
                  <c:v>-100382.5</c:v>
                </c:pt>
                <c:pt idx="37">
                  <c:v>-100381.04447202009</c:v>
                </c:pt>
                <c:pt idx="38">
                  <c:v>-100376.68896552717</c:v>
                </c:pt>
                <c:pt idx="39">
                  <c:v>-100369.46662855557</c:v>
                </c:pt>
                <c:pt idx="40">
                  <c:v>-100359.43242745061</c:v>
                </c:pt>
                <c:pt idx="41">
                  <c:v>-100346.66272854152</c:v>
                </c:pt>
                <c:pt idx="42">
                  <c:v>-100331.25471694754</c:v>
                </c:pt>
                <c:pt idx="43">
                  <c:v>-100313.32565694053</c:v>
                </c:pt>
                <c:pt idx="44">
                  <c:v>-100293.01199949301</c:v>
                </c:pt>
                <c:pt idx="45">
                  <c:v>-100270.46834380385</c:v>
                </c:pt>
                <c:pt idx="46">
                  <c:v>-100245.86626070511</c:v>
                </c:pt>
                <c:pt idx="47">
                  <c:v>-100219.39298690428</c:v>
                </c:pt>
                <c:pt idx="48">
                  <c:v>-100191.25</c:v>
                </c:pt>
                <c:pt idx="49">
                  <c:v>-100161.65148511581</c:v>
                </c:pt>
                <c:pt idx="50">
                  <c:v>-100130.82270482207</c:v>
                </c:pt>
                <c:pt idx="51">
                  <c:v>-100098.99828475171</c:v>
                </c:pt>
                <c:pt idx="52">
                  <c:v>-100066.42042795761</c:v>
                </c:pt>
                <c:pt idx="53">
                  <c:v>-100033.33707160098</c:v>
                </c:pt>
                <c:pt idx="54">
                  <c:v>-100000</c:v>
                </c:pt>
                <c:pt idx="55">
                  <c:v>-99966.662928399019</c:v>
                </c:pt>
                <c:pt idx="56">
                  <c:v>-99933.579572042392</c:v>
                </c:pt>
                <c:pt idx="57">
                  <c:v>-99901.001715248291</c:v>
                </c:pt>
                <c:pt idx="58">
                  <c:v>-99869.177295177928</c:v>
                </c:pt>
                <c:pt idx="59">
                  <c:v>-99838.348514884186</c:v>
                </c:pt>
                <c:pt idx="60">
                  <c:v>-99808.75</c:v>
                </c:pt>
                <c:pt idx="61">
                  <c:v>-99780.607013095723</c:v>
                </c:pt>
                <c:pt idx="62">
                  <c:v>-99754.133739294892</c:v>
                </c:pt>
                <c:pt idx="63">
                  <c:v>-99729.531656196152</c:v>
                </c:pt>
                <c:pt idx="64">
                  <c:v>-99706.988000506986</c:v>
                </c:pt>
                <c:pt idx="65">
                  <c:v>-99686.674343059465</c:v>
                </c:pt>
                <c:pt idx="66">
                  <c:v>-99668.745283052456</c:v>
                </c:pt>
                <c:pt idx="67">
                  <c:v>-99653.337271458484</c:v>
                </c:pt>
                <c:pt idx="68">
                  <c:v>-99640.567572549393</c:v>
                </c:pt>
                <c:pt idx="69">
                  <c:v>-99630.533371444428</c:v>
                </c:pt>
                <c:pt idx="70">
                  <c:v>-99623.311034472834</c:v>
                </c:pt>
                <c:pt idx="71">
                  <c:v>-99618.95552797991</c:v>
                </c:pt>
                <c:pt idx="72">
                  <c:v>-99617.5</c:v>
                </c:pt>
              </c:numCache>
            </c:numRef>
          </c:xVal>
          <c:yVal>
            <c:numRef>
              <c:f>'Background calcs'!$Z$229:$Z$301</c:f>
              <c:numCache>
                <c:formatCode>General</c:formatCode>
                <c:ptCount val="73"/>
                <c:pt idx="0">
                  <c:v>-100000</c:v>
                </c:pt>
                <c:pt idx="1">
                  <c:v>-99966.662928399019</c:v>
                </c:pt>
                <c:pt idx="2">
                  <c:v>-99933.579572042392</c:v>
                </c:pt>
                <c:pt idx="3">
                  <c:v>-99901.001715248291</c:v>
                </c:pt>
                <c:pt idx="4">
                  <c:v>-99869.177295177928</c:v>
                </c:pt>
                <c:pt idx="5">
                  <c:v>-99838.348514884186</c:v>
                </c:pt>
                <c:pt idx="6">
                  <c:v>-99808.75</c:v>
                </c:pt>
                <c:pt idx="7">
                  <c:v>-99780.607013095723</c:v>
                </c:pt>
                <c:pt idx="8">
                  <c:v>-99754.133739294892</c:v>
                </c:pt>
                <c:pt idx="9">
                  <c:v>-99729.531656196152</c:v>
                </c:pt>
                <c:pt idx="10">
                  <c:v>-99706.988000506986</c:v>
                </c:pt>
                <c:pt idx="11">
                  <c:v>-99686.674343059465</c:v>
                </c:pt>
                <c:pt idx="12">
                  <c:v>-99668.745283052456</c:v>
                </c:pt>
                <c:pt idx="13">
                  <c:v>-99653.337271458484</c:v>
                </c:pt>
                <c:pt idx="14">
                  <c:v>-99640.567572549393</c:v>
                </c:pt>
                <c:pt idx="15">
                  <c:v>-99630.533371444428</c:v>
                </c:pt>
                <c:pt idx="16">
                  <c:v>-99623.311034472834</c:v>
                </c:pt>
                <c:pt idx="17">
                  <c:v>-99618.95552797991</c:v>
                </c:pt>
                <c:pt idx="18">
                  <c:v>-99617.5</c:v>
                </c:pt>
                <c:pt idx="19">
                  <c:v>-99618.95552797991</c:v>
                </c:pt>
                <c:pt idx="20">
                  <c:v>-99623.311034472834</c:v>
                </c:pt>
                <c:pt idx="21">
                  <c:v>-99630.533371444428</c:v>
                </c:pt>
                <c:pt idx="22">
                  <c:v>-99640.567572549393</c:v>
                </c:pt>
                <c:pt idx="23">
                  <c:v>-99653.337271458484</c:v>
                </c:pt>
                <c:pt idx="24">
                  <c:v>-99668.745283052456</c:v>
                </c:pt>
                <c:pt idx="25">
                  <c:v>-99686.674343059465</c:v>
                </c:pt>
                <c:pt idx="26">
                  <c:v>-99706.988000506986</c:v>
                </c:pt>
                <c:pt idx="27">
                  <c:v>-99729.531656196152</c:v>
                </c:pt>
                <c:pt idx="28">
                  <c:v>-99754.133739294892</c:v>
                </c:pt>
                <c:pt idx="29">
                  <c:v>-99780.607013095723</c:v>
                </c:pt>
                <c:pt idx="30">
                  <c:v>-99808.75</c:v>
                </c:pt>
                <c:pt idx="31">
                  <c:v>-99838.348514884186</c:v>
                </c:pt>
                <c:pt idx="32">
                  <c:v>-99869.177295177928</c:v>
                </c:pt>
                <c:pt idx="33">
                  <c:v>-99901.001715248291</c:v>
                </c:pt>
                <c:pt idx="34">
                  <c:v>-99933.579572042392</c:v>
                </c:pt>
                <c:pt idx="35">
                  <c:v>-99966.662928399019</c:v>
                </c:pt>
                <c:pt idx="36">
                  <c:v>-100000</c:v>
                </c:pt>
                <c:pt idx="37">
                  <c:v>-100033.33707160098</c:v>
                </c:pt>
                <c:pt idx="38">
                  <c:v>-100066.42042795761</c:v>
                </c:pt>
                <c:pt idx="39">
                  <c:v>-100098.99828475171</c:v>
                </c:pt>
                <c:pt idx="40">
                  <c:v>-100130.82270482207</c:v>
                </c:pt>
                <c:pt idx="41">
                  <c:v>-100161.65148511581</c:v>
                </c:pt>
                <c:pt idx="42">
                  <c:v>-100191.25</c:v>
                </c:pt>
                <c:pt idx="43">
                  <c:v>-100219.39298690428</c:v>
                </c:pt>
                <c:pt idx="44">
                  <c:v>-100245.86626070511</c:v>
                </c:pt>
                <c:pt idx="45">
                  <c:v>-100270.46834380385</c:v>
                </c:pt>
                <c:pt idx="46">
                  <c:v>-100293.01199949301</c:v>
                </c:pt>
                <c:pt idx="47">
                  <c:v>-100313.32565694053</c:v>
                </c:pt>
                <c:pt idx="48">
                  <c:v>-100331.25471694754</c:v>
                </c:pt>
                <c:pt idx="49">
                  <c:v>-100346.66272854152</c:v>
                </c:pt>
                <c:pt idx="50">
                  <c:v>-100359.43242745061</c:v>
                </c:pt>
                <c:pt idx="51">
                  <c:v>-100369.46662855557</c:v>
                </c:pt>
                <c:pt idx="52">
                  <c:v>-100376.68896552717</c:v>
                </c:pt>
                <c:pt idx="53">
                  <c:v>-100381.04447202009</c:v>
                </c:pt>
                <c:pt idx="54">
                  <c:v>-100382.5</c:v>
                </c:pt>
                <c:pt idx="55">
                  <c:v>-100381.04447202009</c:v>
                </c:pt>
                <c:pt idx="56">
                  <c:v>-100376.68896552717</c:v>
                </c:pt>
                <c:pt idx="57">
                  <c:v>-100369.46662855557</c:v>
                </c:pt>
                <c:pt idx="58">
                  <c:v>-100359.43242745061</c:v>
                </c:pt>
                <c:pt idx="59">
                  <c:v>-100346.66272854152</c:v>
                </c:pt>
                <c:pt idx="60">
                  <c:v>-100331.25471694754</c:v>
                </c:pt>
                <c:pt idx="61">
                  <c:v>-100313.32565694053</c:v>
                </c:pt>
                <c:pt idx="62">
                  <c:v>-100293.01199949301</c:v>
                </c:pt>
                <c:pt idx="63">
                  <c:v>-100270.46834380385</c:v>
                </c:pt>
                <c:pt idx="64">
                  <c:v>-100245.86626070511</c:v>
                </c:pt>
                <c:pt idx="65">
                  <c:v>-100219.39298690428</c:v>
                </c:pt>
                <c:pt idx="66">
                  <c:v>-100191.25</c:v>
                </c:pt>
                <c:pt idx="67">
                  <c:v>-100161.65148511581</c:v>
                </c:pt>
                <c:pt idx="68">
                  <c:v>-100130.82270482207</c:v>
                </c:pt>
                <c:pt idx="69">
                  <c:v>-100098.99828475171</c:v>
                </c:pt>
                <c:pt idx="70">
                  <c:v>-100066.42042795761</c:v>
                </c:pt>
                <c:pt idx="71">
                  <c:v>-100033.33707160098</c:v>
                </c:pt>
                <c:pt idx="72">
                  <c:v>-100000</c:v>
                </c:pt>
              </c:numCache>
            </c:numRef>
          </c:yVal>
          <c:smooth val="0"/>
          <c:extLst>
            <c:ext xmlns:c16="http://schemas.microsoft.com/office/drawing/2014/chart" uri="{C3380CC4-5D6E-409C-BE32-E72D297353CC}">
              <c16:uniqueId val="{0000001D-5414-4B96-AC52-4D49445FA07D}"/>
            </c:ext>
          </c:extLst>
        </c:ser>
        <c:ser>
          <c:idx val="59"/>
          <c:order val="59"/>
          <c:tx>
            <c:v>5m_f</c:v>
          </c:tx>
          <c:spPr>
            <a:ln>
              <a:solidFill>
                <a:srgbClr val="808080">
                  <a:alpha val="50000"/>
                </a:srgbClr>
              </a:solidFill>
            </a:ln>
          </c:spPr>
          <c:marker>
            <c:symbol val="none"/>
          </c:marker>
          <c:xVal>
            <c:numRef>
              <c:f>'Background calcs'!$Z$304:$Z$376</c:f>
              <c:numCache>
                <c:formatCode>General</c:formatCode>
                <c:ptCount val="73"/>
                <c:pt idx="0">
                  <c:v>-98413.558572830341</c:v>
                </c:pt>
                <c:pt idx="1">
                  <c:v>-98415.014100810251</c:v>
                </c:pt>
                <c:pt idx="2">
                  <c:v>-98419.369607303175</c:v>
                </c:pt>
                <c:pt idx="3">
                  <c:v>-98426.591944274769</c:v>
                </c:pt>
                <c:pt idx="4">
                  <c:v>-98436.626145379734</c:v>
                </c:pt>
                <c:pt idx="5">
                  <c:v>-98449.395844288825</c:v>
                </c:pt>
                <c:pt idx="6">
                  <c:v>-98464.803855882798</c:v>
                </c:pt>
                <c:pt idx="7">
                  <c:v>-98482.732915889806</c:v>
                </c:pt>
                <c:pt idx="8">
                  <c:v>-98503.046573337328</c:v>
                </c:pt>
                <c:pt idx="9">
                  <c:v>-98525.590229026493</c:v>
                </c:pt>
                <c:pt idx="10">
                  <c:v>-98550.192312125233</c:v>
                </c:pt>
                <c:pt idx="11">
                  <c:v>-98576.665585926065</c:v>
                </c:pt>
                <c:pt idx="12">
                  <c:v>-98604.808572830341</c:v>
                </c:pt>
                <c:pt idx="13">
                  <c:v>-98634.407087714528</c:v>
                </c:pt>
                <c:pt idx="14">
                  <c:v>-98665.235868008269</c:v>
                </c:pt>
                <c:pt idx="15">
                  <c:v>-98697.060288078632</c:v>
                </c:pt>
                <c:pt idx="16">
                  <c:v>-98729.638144872733</c:v>
                </c:pt>
                <c:pt idx="17">
                  <c:v>-98762.72150122936</c:v>
                </c:pt>
                <c:pt idx="18">
                  <c:v>-98796.058572830341</c:v>
                </c:pt>
                <c:pt idx="19">
                  <c:v>-98829.395644431323</c:v>
                </c:pt>
                <c:pt idx="20">
                  <c:v>-98862.479000787949</c:v>
                </c:pt>
                <c:pt idx="21">
                  <c:v>-98895.056857582051</c:v>
                </c:pt>
                <c:pt idx="22">
                  <c:v>-98926.881277652414</c:v>
                </c:pt>
                <c:pt idx="23">
                  <c:v>-98957.710057946155</c:v>
                </c:pt>
                <c:pt idx="24">
                  <c:v>-98987.308572830341</c:v>
                </c:pt>
                <c:pt idx="25">
                  <c:v>-99015.451559734618</c:v>
                </c:pt>
                <c:pt idx="26">
                  <c:v>-99041.92483353545</c:v>
                </c:pt>
                <c:pt idx="27">
                  <c:v>-99066.52691663419</c:v>
                </c:pt>
                <c:pt idx="28">
                  <c:v>-99089.070572323355</c:v>
                </c:pt>
                <c:pt idx="29">
                  <c:v>-99109.384229770876</c:v>
                </c:pt>
                <c:pt idx="30">
                  <c:v>-99127.313289777885</c:v>
                </c:pt>
                <c:pt idx="31">
                  <c:v>-99142.721301371857</c:v>
                </c:pt>
                <c:pt idx="32">
                  <c:v>-99155.491000280948</c:v>
                </c:pt>
                <c:pt idx="33">
                  <c:v>-99165.525201385914</c:v>
                </c:pt>
                <c:pt idx="34">
                  <c:v>-99172.747538357507</c:v>
                </c:pt>
                <c:pt idx="35">
                  <c:v>-99177.103044850432</c:v>
                </c:pt>
                <c:pt idx="36">
                  <c:v>-99178.558572830341</c:v>
                </c:pt>
                <c:pt idx="37">
                  <c:v>-99177.103044850432</c:v>
                </c:pt>
                <c:pt idx="38">
                  <c:v>-99172.747538357507</c:v>
                </c:pt>
                <c:pt idx="39">
                  <c:v>-99165.525201385914</c:v>
                </c:pt>
                <c:pt idx="40">
                  <c:v>-99155.491000280948</c:v>
                </c:pt>
                <c:pt idx="41">
                  <c:v>-99142.721301371857</c:v>
                </c:pt>
                <c:pt idx="42">
                  <c:v>-99127.313289777885</c:v>
                </c:pt>
                <c:pt idx="43">
                  <c:v>-99109.384229770876</c:v>
                </c:pt>
                <c:pt idx="44">
                  <c:v>-99089.070572323355</c:v>
                </c:pt>
                <c:pt idx="45">
                  <c:v>-99066.52691663419</c:v>
                </c:pt>
                <c:pt idx="46">
                  <c:v>-99041.92483353545</c:v>
                </c:pt>
                <c:pt idx="47">
                  <c:v>-99015.451559734618</c:v>
                </c:pt>
                <c:pt idx="48">
                  <c:v>-98987.308572830341</c:v>
                </c:pt>
                <c:pt idx="49">
                  <c:v>-98957.710057946155</c:v>
                </c:pt>
                <c:pt idx="50">
                  <c:v>-98926.881277652414</c:v>
                </c:pt>
                <c:pt idx="51">
                  <c:v>-98895.056857582051</c:v>
                </c:pt>
                <c:pt idx="52">
                  <c:v>-98862.479000787949</c:v>
                </c:pt>
                <c:pt idx="53">
                  <c:v>-98829.395644431323</c:v>
                </c:pt>
                <c:pt idx="54">
                  <c:v>-98796.058572830341</c:v>
                </c:pt>
                <c:pt idx="55">
                  <c:v>-98762.72150122936</c:v>
                </c:pt>
                <c:pt idx="56">
                  <c:v>-98729.638144872733</c:v>
                </c:pt>
                <c:pt idx="57">
                  <c:v>-98697.060288078632</c:v>
                </c:pt>
                <c:pt idx="58">
                  <c:v>-98665.235868008269</c:v>
                </c:pt>
                <c:pt idx="59">
                  <c:v>-98634.407087714528</c:v>
                </c:pt>
                <c:pt idx="60">
                  <c:v>-98604.808572830341</c:v>
                </c:pt>
                <c:pt idx="61">
                  <c:v>-98576.665585926065</c:v>
                </c:pt>
                <c:pt idx="62">
                  <c:v>-98550.192312125233</c:v>
                </c:pt>
                <c:pt idx="63">
                  <c:v>-98525.590229026493</c:v>
                </c:pt>
                <c:pt idx="64">
                  <c:v>-98503.046573337328</c:v>
                </c:pt>
                <c:pt idx="65">
                  <c:v>-98482.732915889806</c:v>
                </c:pt>
                <c:pt idx="66">
                  <c:v>-98464.803855882798</c:v>
                </c:pt>
                <c:pt idx="67">
                  <c:v>-98449.395844288825</c:v>
                </c:pt>
                <c:pt idx="68">
                  <c:v>-98436.626145379734</c:v>
                </c:pt>
                <c:pt idx="69">
                  <c:v>-98426.591944274769</c:v>
                </c:pt>
                <c:pt idx="70">
                  <c:v>-98419.369607303175</c:v>
                </c:pt>
                <c:pt idx="71">
                  <c:v>-98415.014100810251</c:v>
                </c:pt>
                <c:pt idx="72">
                  <c:v>-98413.558572830341</c:v>
                </c:pt>
              </c:numCache>
            </c:numRef>
          </c:xVal>
          <c:yVal>
            <c:numRef>
              <c:f>'Background calcs'!$Z$378:$Z$450</c:f>
              <c:numCache>
                <c:formatCode>General</c:formatCode>
                <c:ptCount val="73"/>
                <c:pt idx="0">
                  <c:v>-100000</c:v>
                </c:pt>
                <c:pt idx="1">
                  <c:v>-99966.662928399019</c:v>
                </c:pt>
                <c:pt idx="2">
                  <c:v>-99933.579572042392</c:v>
                </c:pt>
                <c:pt idx="3">
                  <c:v>-99901.001715248291</c:v>
                </c:pt>
                <c:pt idx="4">
                  <c:v>-99869.177295177928</c:v>
                </c:pt>
                <c:pt idx="5">
                  <c:v>-99838.348514884186</c:v>
                </c:pt>
                <c:pt idx="6">
                  <c:v>-99808.75</c:v>
                </c:pt>
                <c:pt idx="7">
                  <c:v>-99780.607013095723</c:v>
                </c:pt>
                <c:pt idx="8">
                  <c:v>-99754.133739294892</c:v>
                </c:pt>
                <c:pt idx="9">
                  <c:v>-99729.531656196152</c:v>
                </c:pt>
                <c:pt idx="10">
                  <c:v>-99706.988000506986</c:v>
                </c:pt>
                <c:pt idx="11">
                  <c:v>-99686.674343059465</c:v>
                </c:pt>
                <c:pt idx="12">
                  <c:v>-99668.745283052456</c:v>
                </c:pt>
                <c:pt idx="13">
                  <c:v>-99653.337271458484</c:v>
                </c:pt>
                <c:pt idx="14">
                  <c:v>-99640.567572549393</c:v>
                </c:pt>
                <c:pt idx="15">
                  <c:v>-99630.533371444428</c:v>
                </c:pt>
                <c:pt idx="16">
                  <c:v>-99623.311034472834</c:v>
                </c:pt>
                <c:pt idx="17">
                  <c:v>-99618.95552797991</c:v>
                </c:pt>
                <c:pt idx="18">
                  <c:v>-99617.5</c:v>
                </c:pt>
                <c:pt idx="19">
                  <c:v>-99618.95552797991</c:v>
                </c:pt>
                <c:pt idx="20">
                  <c:v>-99623.311034472834</c:v>
                </c:pt>
                <c:pt idx="21">
                  <c:v>-99630.533371444428</c:v>
                </c:pt>
                <c:pt idx="22">
                  <c:v>-99640.567572549393</c:v>
                </c:pt>
                <c:pt idx="23">
                  <c:v>-99653.337271458484</c:v>
                </c:pt>
                <c:pt idx="24">
                  <c:v>-99668.745283052456</c:v>
                </c:pt>
                <c:pt idx="25">
                  <c:v>-99686.674343059465</c:v>
                </c:pt>
                <c:pt idx="26">
                  <c:v>-99706.988000506986</c:v>
                </c:pt>
                <c:pt idx="27">
                  <c:v>-99729.531656196152</c:v>
                </c:pt>
                <c:pt idx="28">
                  <c:v>-99754.133739294892</c:v>
                </c:pt>
                <c:pt idx="29">
                  <c:v>-99780.607013095723</c:v>
                </c:pt>
                <c:pt idx="30">
                  <c:v>-99808.75</c:v>
                </c:pt>
                <c:pt idx="31">
                  <c:v>-99838.348514884186</c:v>
                </c:pt>
                <c:pt idx="32">
                  <c:v>-99869.177295177928</c:v>
                </c:pt>
                <c:pt idx="33">
                  <c:v>-99901.001715248291</c:v>
                </c:pt>
                <c:pt idx="34">
                  <c:v>-99933.579572042392</c:v>
                </c:pt>
                <c:pt idx="35">
                  <c:v>-99966.662928399019</c:v>
                </c:pt>
                <c:pt idx="36">
                  <c:v>-100000</c:v>
                </c:pt>
                <c:pt idx="37">
                  <c:v>-100033.33707160098</c:v>
                </c:pt>
                <c:pt idx="38">
                  <c:v>-100066.42042795761</c:v>
                </c:pt>
                <c:pt idx="39">
                  <c:v>-100098.99828475171</c:v>
                </c:pt>
                <c:pt idx="40">
                  <c:v>-100130.82270482207</c:v>
                </c:pt>
                <c:pt idx="41">
                  <c:v>-100161.65148511581</c:v>
                </c:pt>
                <c:pt idx="42">
                  <c:v>-100191.25</c:v>
                </c:pt>
                <c:pt idx="43">
                  <c:v>-100219.39298690428</c:v>
                </c:pt>
                <c:pt idx="44">
                  <c:v>-100245.86626070511</c:v>
                </c:pt>
                <c:pt idx="45">
                  <c:v>-100270.46834380385</c:v>
                </c:pt>
                <c:pt idx="46">
                  <c:v>-100293.01199949301</c:v>
                </c:pt>
                <c:pt idx="47">
                  <c:v>-100313.32565694053</c:v>
                </c:pt>
                <c:pt idx="48">
                  <c:v>-100331.25471694754</c:v>
                </c:pt>
                <c:pt idx="49">
                  <c:v>-100346.66272854152</c:v>
                </c:pt>
                <c:pt idx="50">
                  <c:v>-100359.43242745061</c:v>
                </c:pt>
                <c:pt idx="51">
                  <c:v>-100369.46662855557</c:v>
                </c:pt>
                <c:pt idx="52">
                  <c:v>-100376.68896552717</c:v>
                </c:pt>
                <c:pt idx="53">
                  <c:v>-100381.04447202009</c:v>
                </c:pt>
                <c:pt idx="54">
                  <c:v>-100382.5</c:v>
                </c:pt>
                <c:pt idx="55">
                  <c:v>-100381.04447202009</c:v>
                </c:pt>
                <c:pt idx="56">
                  <c:v>-100376.68896552717</c:v>
                </c:pt>
                <c:pt idx="57">
                  <c:v>-100369.46662855557</c:v>
                </c:pt>
                <c:pt idx="58">
                  <c:v>-100359.43242745061</c:v>
                </c:pt>
                <c:pt idx="59">
                  <c:v>-100346.66272854152</c:v>
                </c:pt>
                <c:pt idx="60">
                  <c:v>-100331.25471694754</c:v>
                </c:pt>
                <c:pt idx="61">
                  <c:v>-100313.32565694053</c:v>
                </c:pt>
                <c:pt idx="62">
                  <c:v>-100293.01199949301</c:v>
                </c:pt>
                <c:pt idx="63">
                  <c:v>-100270.46834380385</c:v>
                </c:pt>
                <c:pt idx="64">
                  <c:v>-100245.86626070511</c:v>
                </c:pt>
                <c:pt idx="65">
                  <c:v>-100219.39298690428</c:v>
                </c:pt>
                <c:pt idx="66">
                  <c:v>-100191.25</c:v>
                </c:pt>
                <c:pt idx="67">
                  <c:v>-100161.65148511581</c:v>
                </c:pt>
                <c:pt idx="68">
                  <c:v>-100130.82270482207</c:v>
                </c:pt>
                <c:pt idx="69">
                  <c:v>-100098.99828475171</c:v>
                </c:pt>
                <c:pt idx="70">
                  <c:v>-100066.42042795761</c:v>
                </c:pt>
                <c:pt idx="71">
                  <c:v>-100033.33707160098</c:v>
                </c:pt>
                <c:pt idx="72">
                  <c:v>-100000</c:v>
                </c:pt>
              </c:numCache>
            </c:numRef>
          </c:yVal>
          <c:smooth val="0"/>
          <c:extLst>
            <c:ext xmlns:c16="http://schemas.microsoft.com/office/drawing/2014/chart" uri="{C3380CC4-5D6E-409C-BE32-E72D297353CC}">
              <c16:uniqueId val="{0000001E-5414-4B96-AC52-4D49445FA07D}"/>
            </c:ext>
          </c:extLst>
        </c:ser>
        <c:dLbls>
          <c:showLegendKey val="0"/>
          <c:showVal val="0"/>
          <c:showCatName val="0"/>
          <c:showSerName val="0"/>
          <c:showPercent val="0"/>
          <c:showBubbleSize val="0"/>
        </c:dLbls>
        <c:axId val="1971828352"/>
        <c:axId val="1368110192"/>
      </c:scatterChart>
      <c:valAx>
        <c:axId val="1971828352"/>
        <c:scaling>
          <c:orientation val="minMax"/>
          <c:max val="3500"/>
          <c:min val="-500"/>
        </c:scaling>
        <c:delete val="1"/>
        <c:axPos val="b"/>
        <c:numFmt formatCode="General" sourceLinked="1"/>
        <c:majorTickMark val="in"/>
        <c:minorTickMark val="none"/>
        <c:tickLblPos val="none"/>
        <c:crossAx val="1368110192"/>
        <c:crossesAt val="0"/>
        <c:crossBetween val="midCat"/>
        <c:majorUnit val="500"/>
      </c:valAx>
      <c:valAx>
        <c:axId val="1368110192"/>
        <c:scaling>
          <c:orientation val="minMax"/>
          <c:max val="1000"/>
          <c:min val="-3000"/>
        </c:scaling>
        <c:delete val="1"/>
        <c:axPos val="l"/>
        <c:numFmt formatCode="General" sourceLinked="1"/>
        <c:majorTickMark val="none"/>
        <c:minorTickMark val="none"/>
        <c:tickLblPos val="none"/>
        <c:crossAx val="1971828352"/>
        <c:crossesAt val="0"/>
        <c:crossBetween val="midCat"/>
        <c:majorUnit val="500"/>
      </c:valAx>
      <c:spPr>
        <a:noFill/>
        <a:ln>
          <a:noFill/>
        </a:ln>
      </c:spPr>
    </c:plotArea>
    <c:plotVisOnly val="1"/>
    <c:dispBlanksAs val="gap"/>
    <c:showDLblsOverMax val="0"/>
    <c:extLst/>
  </c:chart>
  <c:spPr>
    <a:noFill/>
    <a:ln>
      <a:noFill/>
    </a:ln>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v>1_T</c:v>
          </c:tx>
          <c:spPr>
            <a:ln w="19050" cap="rnd">
              <a:solidFill>
                <a:srgbClr val="FF0000"/>
              </a:solidFill>
              <a:round/>
            </a:ln>
            <a:effectLst/>
          </c:spPr>
          <c:marker>
            <c:symbol val="none"/>
          </c:marker>
          <c:dPt>
            <c:idx val="0"/>
            <c:marker>
              <c:symbol val="none"/>
            </c:marker>
            <c:bubble3D val="0"/>
            <c:spPr>
              <a:ln w="38100" cap="rnd">
                <a:solidFill>
                  <a:srgbClr val="FF0000"/>
                </a:solidFill>
                <a:round/>
              </a:ln>
              <a:effectLst/>
            </c:spPr>
            <c:extLst>
              <c:ext xmlns:c16="http://schemas.microsoft.com/office/drawing/2014/chart" uri="{C3380CC4-5D6E-409C-BE32-E72D297353CC}">
                <c16:uniqueId val="{00000001-8C22-40CA-83DF-72856D66014F}"/>
              </c:ext>
            </c:extLst>
          </c:dPt>
          <c:xVal>
            <c:numRef>
              <c:f>('Background calcs'!$H$191,'Background calcs'!$H$304)</c:f>
              <c:numCache>
                <c:formatCode>General</c:formatCode>
                <c:ptCount val="2"/>
                <c:pt idx="0">
                  <c:v>-370</c:v>
                </c:pt>
                <c:pt idx="1">
                  <c:v>1599.1335313107741</c:v>
                </c:pt>
              </c:numCache>
            </c:numRef>
          </c:xVal>
          <c:yVal>
            <c:numLit>
              <c:formatCode>General</c:formatCode>
              <c:ptCount val="2"/>
              <c:pt idx="0">
                <c:v>0</c:v>
              </c:pt>
              <c:pt idx="1">
                <c:v>0</c:v>
              </c:pt>
            </c:numLit>
          </c:yVal>
          <c:smooth val="0"/>
          <c:extLst>
            <c:ext xmlns:c16="http://schemas.microsoft.com/office/drawing/2014/chart" uri="{C3380CC4-5D6E-409C-BE32-E72D297353CC}">
              <c16:uniqueId val="{00000006-B513-4B8D-9ADD-B967E1FB38B8}"/>
            </c:ext>
          </c:extLst>
        </c:ser>
        <c:ser>
          <c:idx val="50"/>
          <c:order val="1"/>
          <c:tx>
            <c:v>1_St</c:v>
          </c:tx>
          <c:spPr>
            <a:ln w="38100" cap="rnd">
              <a:solidFill>
                <a:srgbClr val="FF0000"/>
              </a:solidFill>
              <a:round/>
            </a:ln>
            <a:effectLst/>
          </c:spPr>
          <c:marker>
            <c:symbol val="none"/>
          </c:marker>
          <c:xVal>
            <c:numRef>
              <c:f>('Background calcs'!$H$94,'Background calcs'!$H$97)</c:f>
              <c:numCache>
                <c:formatCode>General</c:formatCode>
                <c:ptCount val="2"/>
                <c:pt idx="0">
                  <c:v>874.26015134353804</c:v>
                </c:pt>
                <c:pt idx="1">
                  <c:v>910.36356271753243</c:v>
                </c:pt>
              </c:numCache>
            </c:numRef>
          </c:xVal>
          <c:yVal>
            <c:numRef>
              <c:f>('Background calcs'!$H$96,'Background calcs'!$H$99)</c:f>
              <c:numCache>
                <c:formatCode>General</c:formatCode>
                <c:ptCount val="2"/>
                <c:pt idx="0">
                  <c:v>0</c:v>
                </c:pt>
                <c:pt idx="1">
                  <c:v>0</c:v>
                </c:pt>
              </c:numCache>
            </c:numRef>
          </c:yVal>
          <c:smooth val="0"/>
          <c:extLst>
            <c:ext xmlns:c16="http://schemas.microsoft.com/office/drawing/2014/chart" uri="{C3380CC4-5D6E-409C-BE32-E72D297353CC}">
              <c16:uniqueId val="{0000000B-E085-4636-B723-1B11617F6DF8}"/>
            </c:ext>
          </c:extLst>
        </c:ser>
        <c:ser>
          <c:idx val="2"/>
          <c:order val="2"/>
          <c:tx>
            <c:v>1_C</c:v>
          </c:tx>
          <c:spPr>
            <a:ln w="38100" cap="rnd">
              <a:solidFill>
                <a:srgbClr val="FF0000"/>
              </a:solidFill>
              <a:round/>
            </a:ln>
            <a:effectLst/>
          </c:spPr>
          <c:marker>
            <c:symbol val="none"/>
          </c:marker>
          <c:xVal>
            <c:numRef>
              <c:f>('Background calcs'!$H$130,'Background calcs'!$H$100,'Background calcs'!$H$100,'Background calcs'!$H$130)</c:f>
              <c:numCache>
                <c:formatCode>General</c:formatCode>
                <c:ptCount val="4"/>
                <c:pt idx="0">
                  <c:v>881.71564553698795</c:v>
                </c:pt>
                <c:pt idx="1">
                  <c:v>905.18718181548206</c:v>
                </c:pt>
                <c:pt idx="2">
                  <c:v>905.18718181548206</c:v>
                </c:pt>
                <c:pt idx="3">
                  <c:v>881.71564553698795</c:v>
                </c:pt>
              </c:numCache>
            </c:numRef>
          </c:xVal>
          <c:yVal>
            <c:numRef>
              <c:f>('Background calcs'!$H$132,'Background calcs'!$H$102,'Background calcs'!$H$103,'Background calcs'!$H$133)</c:f>
              <c:numCache>
                <c:formatCode>General</c:formatCode>
                <c:ptCount val="4"/>
                <c:pt idx="0">
                  <c:v>251.75502602991239</c:v>
                </c:pt>
                <c:pt idx="1">
                  <c:v>103.78005606442667</c:v>
                </c:pt>
                <c:pt idx="2">
                  <c:v>-103.78005606442667</c:v>
                </c:pt>
                <c:pt idx="3">
                  <c:v>-251.75502602991239</c:v>
                </c:pt>
              </c:numCache>
            </c:numRef>
          </c:yVal>
          <c:smooth val="0"/>
          <c:extLst>
            <c:ext xmlns:c16="http://schemas.microsoft.com/office/drawing/2014/chart" uri="{C3380CC4-5D6E-409C-BE32-E72D297353CC}">
              <c16:uniqueId val="{00000008-B513-4B8D-9ADD-B967E1FB38B8}"/>
            </c:ext>
          </c:extLst>
        </c:ser>
        <c:ser>
          <c:idx val="1"/>
          <c:order val="3"/>
          <c:tx>
            <c:v>1_LG</c:v>
          </c:tx>
          <c:spPr>
            <a:ln w="63500" cap="rnd">
              <a:solidFill>
                <a:srgbClr val="FF0000"/>
              </a:solidFill>
              <a:round/>
            </a:ln>
            <a:effectLst/>
          </c:spPr>
          <c:marker>
            <c:symbol val="none"/>
          </c:marker>
          <c:dPt>
            <c:idx val="1"/>
            <c:marker>
              <c:symbol val="none"/>
            </c:marker>
            <c:bubble3D val="0"/>
            <c:extLst>
              <c:ext xmlns:c16="http://schemas.microsoft.com/office/drawing/2014/chart" uri="{C3380CC4-5D6E-409C-BE32-E72D297353CC}">
                <c16:uniqueId val="{00000002-7FF5-4957-9E67-C7697E598EC9}"/>
              </c:ext>
            </c:extLst>
          </c:dPt>
          <c:xVal>
            <c:numRef>
              <c:f>('Background calcs'!$H$130,'Background calcs'!$H$124)</c:f>
              <c:numCache>
                <c:formatCode>General</c:formatCode>
                <c:ptCount val="2"/>
                <c:pt idx="0">
                  <c:v>881.71564553698795</c:v>
                </c:pt>
                <c:pt idx="1">
                  <c:v>861.37364742895954</c:v>
                </c:pt>
              </c:numCache>
            </c:numRef>
          </c:xVal>
          <c:yVal>
            <c:numRef>
              <c:f>('Background calcs'!$H$132,'Background calcs'!$H$126)</c:f>
              <c:numCache>
                <c:formatCode>General</c:formatCode>
                <c:ptCount val="2"/>
                <c:pt idx="0">
                  <c:v>251.75502602991239</c:v>
                </c:pt>
                <c:pt idx="1">
                  <c:v>380</c:v>
                </c:pt>
              </c:numCache>
            </c:numRef>
          </c:yVal>
          <c:smooth val="0"/>
          <c:extLst>
            <c:ext xmlns:c16="http://schemas.microsoft.com/office/drawing/2014/chart" uri="{C3380CC4-5D6E-409C-BE32-E72D297353CC}">
              <c16:uniqueId val="{00000009-B513-4B8D-9ADD-B967E1FB38B8}"/>
            </c:ext>
          </c:extLst>
        </c:ser>
        <c:ser>
          <c:idx val="3"/>
          <c:order val="4"/>
          <c:tx>
            <c:v>1_RG</c:v>
          </c:tx>
          <c:spPr>
            <a:ln w="19050" cap="rnd">
              <a:solidFill>
                <a:srgbClr val="FF0000"/>
              </a:solidFill>
              <a:round/>
            </a:ln>
            <a:effectLst/>
          </c:spPr>
          <c:marker>
            <c:symbol val="none"/>
          </c:marker>
          <c:dPt>
            <c:idx val="1"/>
            <c:marker>
              <c:symbol val="none"/>
            </c:marker>
            <c:bubble3D val="0"/>
            <c:spPr>
              <a:ln w="63500" cap="rnd">
                <a:solidFill>
                  <a:srgbClr val="FF0000"/>
                </a:solidFill>
                <a:round/>
              </a:ln>
              <a:effectLst/>
            </c:spPr>
            <c:extLst>
              <c:ext xmlns:c16="http://schemas.microsoft.com/office/drawing/2014/chart" uri="{C3380CC4-5D6E-409C-BE32-E72D297353CC}">
                <c16:uniqueId val="{00000004-7FF5-4957-9E67-C7697E598EC9}"/>
              </c:ext>
            </c:extLst>
          </c:dPt>
          <c:xVal>
            <c:numRef>
              <c:f>('Background calcs'!$H$130,'Background calcs'!$H$124)</c:f>
              <c:numCache>
                <c:formatCode>General</c:formatCode>
                <c:ptCount val="2"/>
                <c:pt idx="0">
                  <c:v>881.71564553698795</c:v>
                </c:pt>
                <c:pt idx="1">
                  <c:v>861.37364742895954</c:v>
                </c:pt>
              </c:numCache>
            </c:numRef>
          </c:xVal>
          <c:yVal>
            <c:numRef>
              <c:f>('Background calcs'!$H$133,'Background calcs'!$H$127)</c:f>
              <c:numCache>
                <c:formatCode>General</c:formatCode>
                <c:ptCount val="2"/>
                <c:pt idx="0">
                  <c:v>-251.75502602991239</c:v>
                </c:pt>
                <c:pt idx="1">
                  <c:v>-380</c:v>
                </c:pt>
              </c:numCache>
            </c:numRef>
          </c:yVal>
          <c:smooth val="0"/>
          <c:extLst>
            <c:ext xmlns:c16="http://schemas.microsoft.com/office/drawing/2014/chart" uri="{C3380CC4-5D6E-409C-BE32-E72D297353CC}">
              <c16:uniqueId val="{0000000A-B513-4B8D-9ADD-B967E1FB38B8}"/>
            </c:ext>
          </c:extLst>
        </c:ser>
        <c:ser>
          <c:idx val="4"/>
          <c:order val="5"/>
          <c:tx>
            <c:v>1_S</c:v>
          </c:tx>
          <c:spPr>
            <a:ln w="19050" cap="rnd">
              <a:solidFill>
                <a:srgbClr val="FF0000"/>
              </a:solidFill>
              <a:round/>
            </a:ln>
            <a:effectLst/>
          </c:spPr>
          <c:marker>
            <c:symbol val="x"/>
            <c:size val="11"/>
            <c:spPr>
              <a:noFill/>
              <a:ln w="9525">
                <a:solidFill>
                  <a:srgbClr val="FF0000"/>
                </a:solidFill>
              </a:ln>
              <a:effectLst/>
            </c:spPr>
          </c:marker>
          <c:xVal>
            <c:numRef>
              <c:f>'Background calcs'!$H$114</c:f>
              <c:numCache>
                <c:formatCode>General</c:formatCode>
                <c:ptCount val="1"/>
                <c:pt idx="0">
                  <c:v>242.43772767656708</c:v>
                </c:pt>
              </c:numCache>
            </c:numRef>
          </c:xVal>
          <c:yVal>
            <c:numLit>
              <c:formatCode>General</c:formatCode>
              <c:ptCount val="1"/>
              <c:pt idx="0">
                <c:v>0</c:v>
              </c:pt>
            </c:numLit>
          </c:yVal>
          <c:smooth val="0"/>
          <c:extLst>
            <c:ext xmlns:c16="http://schemas.microsoft.com/office/drawing/2014/chart" uri="{C3380CC4-5D6E-409C-BE32-E72D297353CC}">
              <c16:uniqueId val="{0000000B-B513-4B8D-9ADD-B967E1FB38B8}"/>
            </c:ext>
          </c:extLst>
        </c:ser>
        <c:ser>
          <c:idx val="5"/>
          <c:order val="6"/>
          <c:tx>
            <c:v>1m_T</c:v>
          </c:tx>
          <c:spPr>
            <a:ln w="19050" cap="rnd">
              <a:solidFill>
                <a:srgbClr val="FF8080">
                  <a:alpha val="50000"/>
                </a:srgbClr>
              </a:solidFill>
              <a:round/>
            </a:ln>
            <a:effectLst/>
          </c:spPr>
          <c:marker>
            <c:symbol val="none"/>
          </c:marker>
          <c:dPt>
            <c:idx val="1"/>
            <c:marker>
              <c:symbol val="none"/>
            </c:marker>
            <c:bubble3D val="0"/>
            <c:spPr>
              <a:ln w="19050" cap="rnd">
                <a:solidFill>
                  <a:srgbClr val="FF8080">
                    <a:alpha val="50000"/>
                  </a:srgbClr>
                </a:solidFill>
                <a:round/>
              </a:ln>
              <a:effectLst/>
            </c:spPr>
            <c:extLst>
              <c:ext xmlns:c16="http://schemas.microsoft.com/office/drawing/2014/chart" uri="{C3380CC4-5D6E-409C-BE32-E72D297353CC}">
                <c16:uniqueId val="{0000000A-2F91-4582-977D-C509886DEE92}"/>
              </c:ext>
            </c:extLst>
          </c:dPt>
          <c:xVal>
            <c:numRef>
              <c:f>('Background calcs'!$J$191,'Background calcs'!$J$304)</c:f>
              <c:numCache>
                <c:formatCode>General</c:formatCode>
                <c:ptCount val="2"/>
                <c:pt idx="0">
                  <c:v>-370</c:v>
                </c:pt>
                <c:pt idx="1">
                  <c:v>1640.7873115853697</c:v>
                </c:pt>
              </c:numCache>
            </c:numRef>
          </c:xVal>
          <c:yVal>
            <c:numLit>
              <c:formatCode>General</c:formatCode>
              <c:ptCount val="2"/>
              <c:pt idx="0">
                <c:v>0</c:v>
              </c:pt>
              <c:pt idx="1">
                <c:v>0</c:v>
              </c:pt>
            </c:numLit>
          </c:yVal>
          <c:smooth val="0"/>
          <c:extLst>
            <c:ext xmlns:c16="http://schemas.microsoft.com/office/drawing/2014/chart" uri="{C3380CC4-5D6E-409C-BE32-E72D297353CC}">
              <c16:uniqueId val="{00000005-2F91-4582-977D-C509886DEE92}"/>
            </c:ext>
          </c:extLst>
        </c:ser>
        <c:ser>
          <c:idx val="51"/>
          <c:order val="7"/>
          <c:tx>
            <c:v>1m_St</c:v>
          </c:tx>
          <c:spPr>
            <a:ln w="38100" cap="rnd">
              <a:solidFill>
                <a:srgbClr val="FF8080">
                  <a:alpha val="50000"/>
                </a:srgbClr>
              </a:solidFill>
              <a:round/>
            </a:ln>
            <a:effectLst/>
          </c:spPr>
          <c:marker>
            <c:symbol val="none"/>
          </c:marker>
          <c:xVal>
            <c:numRef>
              <c:f>('Background calcs'!$J$94,'Background calcs'!$J$97)</c:f>
              <c:numCache>
                <c:formatCode>General</c:formatCode>
                <c:ptCount val="2"/>
                <c:pt idx="0">
                  <c:v>866.65750713656769</c:v>
                </c:pt>
                <c:pt idx="1">
                  <c:v>901.91054944379869</c:v>
                </c:pt>
              </c:numCache>
            </c:numRef>
          </c:xVal>
          <c:yVal>
            <c:numRef>
              <c:f>('Background calcs'!$J$96,'Background calcs'!$J$99)</c:f>
              <c:numCache>
                <c:formatCode>General</c:formatCode>
                <c:ptCount val="2"/>
                <c:pt idx="0">
                  <c:v>0</c:v>
                </c:pt>
                <c:pt idx="1">
                  <c:v>0</c:v>
                </c:pt>
              </c:numCache>
            </c:numRef>
          </c:yVal>
          <c:smooth val="0"/>
          <c:extLst>
            <c:ext xmlns:c16="http://schemas.microsoft.com/office/drawing/2014/chart" uri="{C3380CC4-5D6E-409C-BE32-E72D297353CC}">
              <c16:uniqueId val="{00000015-E085-4636-B723-1B11617F6DF8}"/>
            </c:ext>
          </c:extLst>
        </c:ser>
        <c:ser>
          <c:idx val="6"/>
          <c:order val="8"/>
          <c:tx>
            <c:v>1m_C</c:v>
          </c:tx>
          <c:spPr>
            <a:ln w="38100" cap="rnd">
              <a:solidFill>
                <a:srgbClr val="FF8080">
                  <a:alpha val="50000"/>
                </a:srgbClr>
              </a:solidFill>
              <a:round/>
            </a:ln>
            <a:effectLst/>
          </c:spPr>
          <c:marker>
            <c:symbol val="none"/>
          </c:marker>
          <c:xVal>
            <c:numRef>
              <c:f>('Background calcs'!$J$130,'Background calcs'!$J$100,'Background calcs'!$J$100,'Background calcs'!$J$130)</c:f>
              <c:numCache>
                <c:formatCode>General</c:formatCode>
                <c:ptCount val="4"/>
                <c:pt idx="0">
                  <c:v>872.35301786249727</c:v>
                </c:pt>
                <c:pt idx="1">
                  <c:v>896.063115349344</c:v>
                </c:pt>
                <c:pt idx="2">
                  <c:v>896.063115349344</c:v>
                </c:pt>
                <c:pt idx="3">
                  <c:v>872.35301786249727</c:v>
                </c:pt>
              </c:numCache>
            </c:numRef>
          </c:xVal>
          <c:yVal>
            <c:numRef>
              <c:f>('Background calcs'!$J$132,'Background calcs'!$J$102,'Background calcs'!$J$103,'Background calcs'!$J$133)</c:f>
              <c:numCache>
                <c:formatCode>General</c:formatCode>
                <c:ptCount val="4"/>
                <c:pt idx="0">
                  <c:v>251.75502602991239</c:v>
                </c:pt>
                <c:pt idx="1">
                  <c:v>103.78005606442667</c:v>
                </c:pt>
                <c:pt idx="2">
                  <c:v>-103.78005606442667</c:v>
                </c:pt>
                <c:pt idx="3">
                  <c:v>-251.75502602991239</c:v>
                </c:pt>
              </c:numCache>
            </c:numRef>
          </c:yVal>
          <c:smooth val="0"/>
          <c:extLst>
            <c:ext xmlns:c16="http://schemas.microsoft.com/office/drawing/2014/chart" uri="{C3380CC4-5D6E-409C-BE32-E72D297353CC}">
              <c16:uniqueId val="{00000006-2F91-4582-977D-C509886DEE92}"/>
            </c:ext>
          </c:extLst>
        </c:ser>
        <c:ser>
          <c:idx val="7"/>
          <c:order val="9"/>
          <c:tx>
            <c:v>1m_LG</c:v>
          </c:tx>
          <c:spPr>
            <a:ln w="63500" cap="rnd">
              <a:solidFill>
                <a:srgbClr val="FF8080">
                  <a:alpha val="50000"/>
                </a:srgbClr>
              </a:solidFill>
              <a:round/>
            </a:ln>
            <a:effectLst/>
          </c:spPr>
          <c:marker>
            <c:symbol val="none"/>
          </c:marker>
          <c:xVal>
            <c:numRef>
              <c:f>('Background calcs'!$J$130,'Background calcs'!$J$124)</c:f>
              <c:numCache>
                <c:formatCode>General</c:formatCode>
                <c:ptCount val="2"/>
                <c:pt idx="0">
                  <c:v>872.35301786249727</c:v>
                </c:pt>
                <c:pt idx="1">
                  <c:v>851.80426670723011</c:v>
                </c:pt>
              </c:numCache>
            </c:numRef>
          </c:xVal>
          <c:yVal>
            <c:numRef>
              <c:f>('Background calcs'!$J$132,'Background calcs'!$J$126)</c:f>
              <c:numCache>
                <c:formatCode>General</c:formatCode>
                <c:ptCount val="2"/>
                <c:pt idx="0">
                  <c:v>251.75502602991239</c:v>
                </c:pt>
                <c:pt idx="1">
                  <c:v>380</c:v>
                </c:pt>
              </c:numCache>
            </c:numRef>
          </c:yVal>
          <c:smooth val="0"/>
          <c:extLst>
            <c:ext xmlns:c16="http://schemas.microsoft.com/office/drawing/2014/chart" uri="{C3380CC4-5D6E-409C-BE32-E72D297353CC}">
              <c16:uniqueId val="{00000007-2F91-4582-977D-C509886DEE92}"/>
            </c:ext>
          </c:extLst>
        </c:ser>
        <c:ser>
          <c:idx val="8"/>
          <c:order val="10"/>
          <c:tx>
            <c:v>1m_RG</c:v>
          </c:tx>
          <c:spPr>
            <a:ln w="63500" cap="rnd">
              <a:solidFill>
                <a:srgbClr val="FF8080">
                  <a:alpha val="50000"/>
                </a:srgbClr>
              </a:solidFill>
              <a:round/>
            </a:ln>
            <a:effectLst/>
          </c:spPr>
          <c:marker>
            <c:symbol val="none"/>
          </c:marker>
          <c:dPt>
            <c:idx val="0"/>
            <c:marker>
              <c:symbol val="none"/>
            </c:marker>
            <c:bubble3D val="0"/>
            <c:spPr>
              <a:ln w="19050" cap="rnd">
                <a:solidFill>
                  <a:srgbClr val="FF8080">
                    <a:alpha val="50000"/>
                  </a:srgbClr>
                </a:solidFill>
                <a:round/>
              </a:ln>
              <a:effectLst/>
            </c:spPr>
            <c:extLst>
              <c:ext xmlns:c16="http://schemas.microsoft.com/office/drawing/2014/chart" uri="{C3380CC4-5D6E-409C-BE32-E72D297353CC}">
                <c16:uniqueId val="{00000008-7FF5-4957-9E67-C7697E598EC9}"/>
              </c:ext>
            </c:extLst>
          </c:dPt>
          <c:xVal>
            <c:numRef>
              <c:f>('Background calcs'!$J$130,'Background calcs'!$J$124)</c:f>
              <c:numCache>
                <c:formatCode>General</c:formatCode>
                <c:ptCount val="2"/>
                <c:pt idx="0">
                  <c:v>872.35301786249727</c:v>
                </c:pt>
                <c:pt idx="1">
                  <c:v>851.80426670723011</c:v>
                </c:pt>
              </c:numCache>
            </c:numRef>
          </c:xVal>
          <c:yVal>
            <c:numRef>
              <c:f>('Background calcs'!$J$133,'Background calcs'!$J$127)</c:f>
              <c:numCache>
                <c:formatCode>General</c:formatCode>
                <c:ptCount val="2"/>
                <c:pt idx="0">
                  <c:v>-251.75502602991239</c:v>
                </c:pt>
                <c:pt idx="1">
                  <c:v>-380</c:v>
                </c:pt>
              </c:numCache>
            </c:numRef>
          </c:yVal>
          <c:smooth val="0"/>
          <c:extLst>
            <c:ext xmlns:c16="http://schemas.microsoft.com/office/drawing/2014/chart" uri="{C3380CC4-5D6E-409C-BE32-E72D297353CC}">
              <c16:uniqueId val="{00000008-2F91-4582-977D-C509886DEE92}"/>
            </c:ext>
          </c:extLst>
        </c:ser>
        <c:ser>
          <c:idx val="9"/>
          <c:order val="11"/>
          <c:tx>
            <c:v>1m_S</c:v>
          </c:tx>
          <c:spPr>
            <a:ln w="19050" cap="rnd">
              <a:solidFill>
                <a:schemeClr val="accent4">
                  <a:lumMod val="60000"/>
                </a:schemeClr>
              </a:solidFill>
              <a:round/>
            </a:ln>
            <a:effectLst/>
          </c:spPr>
          <c:marker>
            <c:symbol val="x"/>
            <c:size val="11"/>
            <c:spPr>
              <a:noFill/>
              <a:ln w="19050">
                <a:solidFill>
                  <a:srgbClr val="FF8080">
                    <a:alpha val="50000"/>
                  </a:srgbClr>
                </a:solidFill>
              </a:ln>
              <a:effectLst/>
            </c:spPr>
          </c:marker>
          <c:xVal>
            <c:numRef>
              <c:f>'Background calcs'!$J$114</c:f>
              <c:numCache>
                <c:formatCode>General</c:formatCode>
                <c:ptCount val="1"/>
                <c:pt idx="0">
                  <c:v>244.17479456147083</c:v>
                </c:pt>
              </c:numCache>
            </c:numRef>
          </c:xVal>
          <c:yVal>
            <c:numLit>
              <c:formatCode>General</c:formatCode>
              <c:ptCount val="1"/>
              <c:pt idx="0">
                <c:v>0</c:v>
              </c:pt>
            </c:numLit>
          </c:yVal>
          <c:smooth val="0"/>
          <c:extLst>
            <c:ext xmlns:c16="http://schemas.microsoft.com/office/drawing/2014/chart" uri="{C3380CC4-5D6E-409C-BE32-E72D297353CC}">
              <c16:uniqueId val="{00000009-2F91-4582-977D-C509886DEE92}"/>
            </c:ext>
          </c:extLst>
        </c:ser>
        <c:ser>
          <c:idx val="10"/>
          <c:order val="12"/>
          <c:tx>
            <c:v>2_T</c:v>
          </c:tx>
          <c:spPr>
            <a:ln w="19050" cap="rnd">
              <a:solidFill>
                <a:srgbClr val="0070C0"/>
              </a:solidFill>
              <a:round/>
            </a:ln>
            <a:effectLst/>
          </c:spPr>
          <c:marker>
            <c:symbol val="none"/>
          </c:marker>
          <c:xVal>
            <c:numRef>
              <c:f>('Background calcs'!$L$191,'Background calcs'!$L$304)</c:f>
              <c:numCache>
                <c:formatCode>General</c:formatCode>
                <c:ptCount val="2"/>
                <c:pt idx="0">
                  <c:v>-100377</c:v>
                </c:pt>
                <c:pt idx="1">
                  <c:v>-98409.88304439433</c:v>
                </c:pt>
              </c:numCache>
            </c:numRef>
          </c:xVal>
          <c:yVal>
            <c:numLit>
              <c:formatCode>General</c:formatCode>
              <c:ptCount val="2"/>
              <c:pt idx="0">
                <c:v>0</c:v>
              </c:pt>
              <c:pt idx="1">
                <c:v>0</c:v>
              </c:pt>
            </c:numLit>
          </c:yVal>
          <c:smooth val="0"/>
          <c:extLst>
            <c:ext xmlns:c16="http://schemas.microsoft.com/office/drawing/2014/chart" uri="{C3380CC4-5D6E-409C-BE32-E72D297353CC}">
              <c16:uniqueId val="{0000000B-2F91-4582-977D-C509886DEE92}"/>
            </c:ext>
          </c:extLst>
        </c:ser>
        <c:ser>
          <c:idx val="52"/>
          <c:order val="13"/>
          <c:tx>
            <c:v>2_St</c:v>
          </c:tx>
          <c:spPr>
            <a:ln w="38100" cap="rnd">
              <a:solidFill>
                <a:srgbClr val="0070C0"/>
              </a:solidFill>
              <a:round/>
            </a:ln>
            <a:effectLst/>
          </c:spPr>
          <c:marker>
            <c:symbol val="none"/>
          </c:marker>
          <c:xVal>
            <c:numRef>
              <c:f>('Background calcs'!$L$94,'Background calcs'!$L$97)</c:f>
              <c:numCache>
                <c:formatCode>General</c:formatCode>
                <c:ptCount val="2"/>
                <c:pt idx="0">
                  <c:v>-99121.608083299419</c:v>
                </c:pt>
                <c:pt idx="1">
                  <c:v>-99085.355771817951</c:v>
                </c:pt>
              </c:numCache>
            </c:numRef>
          </c:xVal>
          <c:yVal>
            <c:numRef>
              <c:f>('Background calcs'!$L$96,'Background calcs'!$L$99)</c:f>
              <c:numCache>
                <c:formatCode>General</c:formatCode>
                <c:ptCount val="2"/>
                <c:pt idx="0">
                  <c:v>-100000</c:v>
                </c:pt>
                <c:pt idx="1">
                  <c:v>-100000</c:v>
                </c:pt>
              </c:numCache>
            </c:numRef>
          </c:yVal>
          <c:smooth val="0"/>
          <c:extLst>
            <c:ext xmlns:c16="http://schemas.microsoft.com/office/drawing/2014/chart" uri="{C3380CC4-5D6E-409C-BE32-E72D297353CC}">
              <c16:uniqueId val="{00000016-E085-4636-B723-1B11617F6DF8}"/>
            </c:ext>
          </c:extLst>
        </c:ser>
        <c:ser>
          <c:idx val="11"/>
          <c:order val="14"/>
          <c:tx>
            <c:v>2_C</c:v>
          </c:tx>
          <c:spPr>
            <a:ln w="38100" cap="rnd">
              <a:solidFill>
                <a:srgbClr val="0070C0"/>
              </a:solidFill>
              <a:round/>
            </a:ln>
            <a:effectLst/>
          </c:spPr>
          <c:marker>
            <c:symbol val="none"/>
          </c:marker>
          <c:xVal>
            <c:numRef>
              <c:f>('Background calcs'!$L$130,'Background calcs'!$L$100,'Background calcs'!$L$100,'Background calcs'!$L$130)</c:f>
              <c:numCache>
                <c:formatCode>General</c:formatCode>
                <c:ptCount val="4"/>
                <c:pt idx="0">
                  <c:v>-99101.846986889257</c:v>
                </c:pt>
                <c:pt idx="1">
                  <c:v>-99085.355771817951</c:v>
                </c:pt>
                <c:pt idx="2">
                  <c:v>-99085.355771817951</c:v>
                </c:pt>
                <c:pt idx="3">
                  <c:v>-99101.846986889257</c:v>
                </c:pt>
              </c:numCache>
            </c:numRef>
          </c:xVal>
          <c:yVal>
            <c:numRef>
              <c:f>('Background calcs'!$L$132,'Background calcs'!$L$102,'Background calcs'!$L$103,'Background calcs'!$L$133)</c:f>
              <c:numCache>
                <c:formatCode>General</c:formatCode>
                <c:ptCount val="4"/>
                <c:pt idx="0">
                  <c:v>-99744.125209189922</c:v>
                </c:pt>
                <c:pt idx="1">
                  <c:v>-99848.246643325241</c:v>
                </c:pt>
                <c:pt idx="2">
                  <c:v>-100151.75335667476</c:v>
                </c:pt>
                <c:pt idx="3">
                  <c:v>-100255.87479081008</c:v>
                </c:pt>
              </c:numCache>
            </c:numRef>
          </c:yVal>
          <c:smooth val="0"/>
          <c:extLst>
            <c:ext xmlns:c16="http://schemas.microsoft.com/office/drawing/2014/chart" uri="{C3380CC4-5D6E-409C-BE32-E72D297353CC}">
              <c16:uniqueId val="{0000000C-2F91-4582-977D-C509886DEE92}"/>
            </c:ext>
          </c:extLst>
        </c:ser>
        <c:ser>
          <c:idx val="12"/>
          <c:order val="15"/>
          <c:tx>
            <c:v>2_LG</c:v>
          </c:tx>
          <c:spPr>
            <a:ln w="63500" cap="rnd">
              <a:solidFill>
                <a:schemeClr val="accent1"/>
              </a:solidFill>
              <a:round/>
            </a:ln>
            <a:effectLst/>
          </c:spPr>
          <c:marker>
            <c:symbol val="none"/>
          </c:marker>
          <c:xVal>
            <c:numRef>
              <c:f>('Background calcs'!$L$130,'Background calcs'!$L$124)</c:f>
              <c:numCache>
                <c:formatCode>General</c:formatCode>
                <c:ptCount val="2"/>
                <c:pt idx="0">
                  <c:v>-99101.846986889257</c:v>
                </c:pt>
                <c:pt idx="1">
                  <c:v>-99122.694371979407</c:v>
                </c:pt>
              </c:numCache>
            </c:numRef>
          </c:xVal>
          <c:yVal>
            <c:numRef>
              <c:f>('Background calcs'!$L$132,'Background calcs'!$L$126)</c:f>
              <c:numCache>
                <c:formatCode>General</c:formatCode>
                <c:ptCount val="2"/>
                <c:pt idx="0">
                  <c:v>-99744.125209189922</c:v>
                </c:pt>
                <c:pt idx="1">
                  <c:v>-99612.5</c:v>
                </c:pt>
              </c:numCache>
            </c:numRef>
          </c:yVal>
          <c:smooth val="0"/>
          <c:extLst>
            <c:ext xmlns:c16="http://schemas.microsoft.com/office/drawing/2014/chart" uri="{C3380CC4-5D6E-409C-BE32-E72D297353CC}">
              <c16:uniqueId val="{0000000D-2F91-4582-977D-C509886DEE92}"/>
            </c:ext>
          </c:extLst>
        </c:ser>
        <c:ser>
          <c:idx val="13"/>
          <c:order val="16"/>
          <c:tx>
            <c:v>2_RG</c:v>
          </c:tx>
          <c:spPr>
            <a:ln w="63500" cap="rnd">
              <a:solidFill>
                <a:srgbClr val="0070C0"/>
              </a:solidFill>
              <a:round/>
            </a:ln>
            <a:effectLst/>
          </c:spPr>
          <c:marker>
            <c:symbol val="none"/>
          </c:marker>
          <c:dPt>
            <c:idx val="0"/>
            <c:marker>
              <c:symbol val="none"/>
            </c:marker>
            <c:bubble3D val="0"/>
            <c:spPr>
              <a:ln w="63500" cap="rnd">
                <a:solidFill>
                  <a:srgbClr val="0070C0"/>
                </a:solidFill>
                <a:round/>
              </a:ln>
              <a:effectLst/>
            </c:spPr>
            <c:extLst>
              <c:ext xmlns:c16="http://schemas.microsoft.com/office/drawing/2014/chart" uri="{C3380CC4-5D6E-409C-BE32-E72D297353CC}">
                <c16:uniqueId val="{0000000A-7FF5-4957-9E67-C7697E598EC9}"/>
              </c:ext>
            </c:extLst>
          </c:dPt>
          <c:xVal>
            <c:numRef>
              <c:f>('Background calcs'!$L$130,'Background calcs'!$L$124)</c:f>
              <c:numCache>
                <c:formatCode>General</c:formatCode>
                <c:ptCount val="2"/>
                <c:pt idx="0">
                  <c:v>-99101.846986889257</c:v>
                </c:pt>
                <c:pt idx="1">
                  <c:v>-99122.694371979407</c:v>
                </c:pt>
              </c:numCache>
            </c:numRef>
          </c:xVal>
          <c:yVal>
            <c:numRef>
              <c:f>('Background calcs'!$L$133,'Background calcs'!$L$127)</c:f>
              <c:numCache>
                <c:formatCode>General</c:formatCode>
                <c:ptCount val="2"/>
                <c:pt idx="0">
                  <c:v>-100255.87479081008</c:v>
                </c:pt>
                <c:pt idx="1">
                  <c:v>-100387.5</c:v>
                </c:pt>
              </c:numCache>
            </c:numRef>
          </c:yVal>
          <c:smooth val="0"/>
          <c:extLst>
            <c:ext xmlns:c16="http://schemas.microsoft.com/office/drawing/2014/chart" uri="{C3380CC4-5D6E-409C-BE32-E72D297353CC}">
              <c16:uniqueId val="{0000000E-2F91-4582-977D-C509886DEE92}"/>
            </c:ext>
          </c:extLst>
        </c:ser>
        <c:ser>
          <c:idx val="14"/>
          <c:order val="17"/>
          <c:tx>
            <c:v>2_S</c:v>
          </c:tx>
          <c:spPr>
            <a:ln w="19050" cap="rnd">
              <a:solidFill>
                <a:srgbClr val="0070C0"/>
              </a:solidFill>
              <a:round/>
            </a:ln>
            <a:effectLst/>
          </c:spPr>
          <c:marker>
            <c:symbol val="none"/>
          </c:marker>
          <c:xVal>
            <c:numRef>
              <c:f>'Background calcs'!$L$114</c:f>
              <c:numCache>
                <c:formatCode>General</c:formatCode>
                <c:ptCount val="1"/>
                <c:pt idx="0">
                  <c:v>-99745.530641220525</c:v>
                </c:pt>
              </c:numCache>
            </c:numRef>
          </c:xVal>
          <c:yVal>
            <c:numLit>
              <c:formatCode>General</c:formatCode>
              <c:ptCount val="1"/>
              <c:pt idx="0">
                <c:v>0</c:v>
              </c:pt>
            </c:numLit>
          </c:yVal>
          <c:smooth val="0"/>
          <c:extLst>
            <c:ext xmlns:c16="http://schemas.microsoft.com/office/drawing/2014/chart" uri="{C3380CC4-5D6E-409C-BE32-E72D297353CC}">
              <c16:uniqueId val="{0000000F-2F91-4582-977D-C509886DEE92}"/>
            </c:ext>
          </c:extLst>
        </c:ser>
        <c:ser>
          <c:idx val="15"/>
          <c:order val="18"/>
          <c:tx>
            <c:v>2m_T</c:v>
          </c:tx>
          <c:spPr>
            <a:ln w="19050" cap="rnd">
              <a:solidFill>
                <a:srgbClr val="80B8E0">
                  <a:alpha val="50000"/>
                </a:srgbClr>
              </a:solidFill>
              <a:round/>
            </a:ln>
            <a:effectLst/>
          </c:spPr>
          <c:marker>
            <c:symbol val="none"/>
          </c:marker>
          <c:xVal>
            <c:numRef>
              <c:f>('Background calcs'!$N$191,'Background calcs'!$N$304)</c:f>
              <c:numCache>
                <c:formatCode>General</c:formatCode>
                <c:ptCount val="2"/>
                <c:pt idx="0">
                  <c:v>-100377</c:v>
                </c:pt>
                <c:pt idx="1">
                  <c:v>-98409.88304439433</c:v>
                </c:pt>
              </c:numCache>
            </c:numRef>
          </c:xVal>
          <c:yVal>
            <c:numLit>
              <c:formatCode>General</c:formatCode>
              <c:ptCount val="2"/>
              <c:pt idx="0">
                <c:v>0</c:v>
              </c:pt>
              <c:pt idx="1">
                <c:v>0</c:v>
              </c:pt>
            </c:numLit>
          </c:yVal>
          <c:smooth val="0"/>
          <c:extLst>
            <c:ext xmlns:c16="http://schemas.microsoft.com/office/drawing/2014/chart" uri="{C3380CC4-5D6E-409C-BE32-E72D297353CC}">
              <c16:uniqueId val="{00000010-2F91-4582-977D-C509886DEE92}"/>
            </c:ext>
          </c:extLst>
        </c:ser>
        <c:ser>
          <c:idx val="53"/>
          <c:order val="19"/>
          <c:tx>
            <c:v>2m_St</c:v>
          </c:tx>
          <c:spPr>
            <a:ln w="38100" cap="rnd">
              <a:solidFill>
                <a:srgbClr val="80B8E0">
                  <a:alpha val="50000"/>
                </a:srgbClr>
              </a:solidFill>
              <a:round/>
            </a:ln>
            <a:effectLst/>
          </c:spPr>
          <c:marker>
            <c:symbol val="none"/>
          </c:marker>
          <c:xVal>
            <c:numRef>
              <c:f>('Background calcs'!$N$94,'Background calcs'!$N$97)</c:f>
              <c:numCache>
                <c:formatCode>General</c:formatCode>
                <c:ptCount val="2"/>
                <c:pt idx="0">
                  <c:v>-99121.608083299419</c:v>
                </c:pt>
                <c:pt idx="1">
                  <c:v>-99085.355771817951</c:v>
                </c:pt>
              </c:numCache>
            </c:numRef>
          </c:xVal>
          <c:yVal>
            <c:numRef>
              <c:f>('Background calcs'!$N$96,'Background calcs'!$N$99)</c:f>
              <c:numCache>
                <c:formatCode>General</c:formatCode>
                <c:ptCount val="2"/>
                <c:pt idx="0">
                  <c:v>-100000</c:v>
                </c:pt>
                <c:pt idx="1">
                  <c:v>-100000</c:v>
                </c:pt>
              </c:numCache>
            </c:numRef>
          </c:yVal>
          <c:smooth val="0"/>
          <c:extLst>
            <c:ext xmlns:c16="http://schemas.microsoft.com/office/drawing/2014/chart" uri="{C3380CC4-5D6E-409C-BE32-E72D297353CC}">
              <c16:uniqueId val="{00000017-E085-4636-B723-1B11617F6DF8}"/>
            </c:ext>
          </c:extLst>
        </c:ser>
        <c:ser>
          <c:idx val="16"/>
          <c:order val="20"/>
          <c:tx>
            <c:v>2m_C</c:v>
          </c:tx>
          <c:spPr>
            <a:ln w="38100" cap="rnd">
              <a:solidFill>
                <a:schemeClr val="accent5">
                  <a:lumMod val="80000"/>
                  <a:lumOff val="20000"/>
                  <a:alpha val="50000"/>
                </a:schemeClr>
              </a:solidFill>
              <a:round/>
            </a:ln>
            <a:effectLst/>
          </c:spPr>
          <c:marker>
            <c:symbol val="none"/>
          </c:marker>
          <c:xVal>
            <c:numRef>
              <c:f>('Background calcs'!$N$130,'Background calcs'!$N$100,'Background calcs'!$N$100,'Background calcs'!$N$130)</c:f>
              <c:numCache>
                <c:formatCode>General</c:formatCode>
                <c:ptCount val="4"/>
                <c:pt idx="0">
                  <c:v>-99101.846986889257</c:v>
                </c:pt>
                <c:pt idx="1">
                  <c:v>-99085.355771817951</c:v>
                </c:pt>
                <c:pt idx="2">
                  <c:v>-99085.355771817951</c:v>
                </c:pt>
                <c:pt idx="3">
                  <c:v>-99101.846986889257</c:v>
                </c:pt>
              </c:numCache>
            </c:numRef>
          </c:xVal>
          <c:yVal>
            <c:numRef>
              <c:f>('Background calcs'!$N$132,'Background calcs'!$N$102,'Background calcs'!$N$103,'Background calcs'!$N$133)</c:f>
              <c:numCache>
                <c:formatCode>General</c:formatCode>
                <c:ptCount val="4"/>
                <c:pt idx="0">
                  <c:v>-99744.125209189922</c:v>
                </c:pt>
                <c:pt idx="1">
                  <c:v>-99848.246643325241</c:v>
                </c:pt>
                <c:pt idx="2">
                  <c:v>-100151.75335667476</c:v>
                </c:pt>
                <c:pt idx="3">
                  <c:v>-100255.87479081008</c:v>
                </c:pt>
              </c:numCache>
            </c:numRef>
          </c:yVal>
          <c:smooth val="0"/>
          <c:extLst>
            <c:ext xmlns:c16="http://schemas.microsoft.com/office/drawing/2014/chart" uri="{C3380CC4-5D6E-409C-BE32-E72D297353CC}">
              <c16:uniqueId val="{00000011-2F91-4582-977D-C509886DEE92}"/>
            </c:ext>
          </c:extLst>
        </c:ser>
        <c:ser>
          <c:idx val="17"/>
          <c:order val="21"/>
          <c:tx>
            <c:v>2m_LG</c:v>
          </c:tx>
          <c:spPr>
            <a:ln w="63500" cap="rnd">
              <a:solidFill>
                <a:srgbClr val="80B8E0">
                  <a:alpha val="50000"/>
                </a:srgbClr>
              </a:solidFill>
              <a:round/>
            </a:ln>
            <a:effectLst/>
          </c:spPr>
          <c:marker>
            <c:symbol val="none"/>
          </c:marker>
          <c:xVal>
            <c:numRef>
              <c:f>('Background calcs'!$N$130,'Background calcs'!$N$124)</c:f>
              <c:numCache>
                <c:formatCode>General</c:formatCode>
                <c:ptCount val="2"/>
                <c:pt idx="0">
                  <c:v>-99101.846986889257</c:v>
                </c:pt>
                <c:pt idx="1">
                  <c:v>-99122.694371979407</c:v>
                </c:pt>
              </c:numCache>
            </c:numRef>
          </c:xVal>
          <c:yVal>
            <c:numRef>
              <c:f>('Background calcs'!$N$132,'Background calcs'!$N$126)</c:f>
              <c:numCache>
                <c:formatCode>General</c:formatCode>
                <c:ptCount val="2"/>
                <c:pt idx="0">
                  <c:v>-99744.125209189922</c:v>
                </c:pt>
                <c:pt idx="1">
                  <c:v>-99612.5</c:v>
                </c:pt>
              </c:numCache>
            </c:numRef>
          </c:yVal>
          <c:smooth val="0"/>
          <c:extLst>
            <c:ext xmlns:c16="http://schemas.microsoft.com/office/drawing/2014/chart" uri="{C3380CC4-5D6E-409C-BE32-E72D297353CC}">
              <c16:uniqueId val="{00000012-2F91-4582-977D-C509886DEE92}"/>
            </c:ext>
          </c:extLst>
        </c:ser>
        <c:ser>
          <c:idx val="18"/>
          <c:order val="22"/>
          <c:tx>
            <c:v>2m_RG</c:v>
          </c:tx>
          <c:spPr>
            <a:ln w="63500" cap="rnd">
              <a:solidFill>
                <a:srgbClr val="80B8E0">
                  <a:alpha val="50000"/>
                </a:srgbClr>
              </a:solidFill>
              <a:round/>
            </a:ln>
            <a:effectLst/>
          </c:spPr>
          <c:marker>
            <c:symbol val="none"/>
          </c:marker>
          <c:xVal>
            <c:numRef>
              <c:f>('Background calcs'!$N$130,'Background calcs'!$N$124)</c:f>
              <c:numCache>
                <c:formatCode>General</c:formatCode>
                <c:ptCount val="2"/>
                <c:pt idx="0">
                  <c:v>-99101.846986889257</c:v>
                </c:pt>
                <c:pt idx="1">
                  <c:v>-99122.694371979407</c:v>
                </c:pt>
              </c:numCache>
            </c:numRef>
          </c:xVal>
          <c:yVal>
            <c:numRef>
              <c:f>('Background calcs'!$N$133,'Background calcs'!$N$127)</c:f>
              <c:numCache>
                <c:formatCode>General</c:formatCode>
                <c:ptCount val="2"/>
                <c:pt idx="0">
                  <c:v>-100255.87479081008</c:v>
                </c:pt>
                <c:pt idx="1">
                  <c:v>-100387.5</c:v>
                </c:pt>
              </c:numCache>
            </c:numRef>
          </c:yVal>
          <c:smooth val="0"/>
          <c:extLst>
            <c:ext xmlns:c16="http://schemas.microsoft.com/office/drawing/2014/chart" uri="{C3380CC4-5D6E-409C-BE32-E72D297353CC}">
              <c16:uniqueId val="{00000013-2F91-4582-977D-C509886DEE92}"/>
            </c:ext>
          </c:extLst>
        </c:ser>
        <c:ser>
          <c:idx val="19"/>
          <c:order val="23"/>
          <c:tx>
            <c:v>2m_S</c:v>
          </c:tx>
          <c:spPr>
            <a:ln w="19050" cap="rnd">
              <a:solidFill>
                <a:schemeClr val="accent2">
                  <a:lumMod val="80000"/>
                </a:schemeClr>
              </a:solidFill>
              <a:round/>
            </a:ln>
            <a:effectLst/>
          </c:spPr>
          <c:marker>
            <c:symbol val="none"/>
          </c:marker>
          <c:xVal>
            <c:numRef>
              <c:f>'Background calcs'!$N$114</c:f>
              <c:numCache>
                <c:formatCode>General</c:formatCode>
                <c:ptCount val="1"/>
                <c:pt idx="0">
                  <c:v>-99745.530641220525</c:v>
                </c:pt>
              </c:numCache>
            </c:numRef>
          </c:xVal>
          <c:yVal>
            <c:numLit>
              <c:formatCode>General</c:formatCode>
              <c:ptCount val="1"/>
              <c:pt idx="0">
                <c:v>0</c:v>
              </c:pt>
            </c:numLit>
          </c:yVal>
          <c:smooth val="0"/>
          <c:extLst>
            <c:ext xmlns:c16="http://schemas.microsoft.com/office/drawing/2014/chart" uri="{C3380CC4-5D6E-409C-BE32-E72D297353CC}">
              <c16:uniqueId val="{00000014-2F91-4582-977D-C509886DEE92}"/>
            </c:ext>
          </c:extLst>
        </c:ser>
        <c:ser>
          <c:idx val="20"/>
          <c:order val="24"/>
          <c:tx>
            <c:v>3_T</c:v>
          </c:tx>
          <c:spPr>
            <a:ln w="19050" cap="rnd">
              <a:solidFill>
                <a:srgbClr val="00B050"/>
              </a:solidFill>
              <a:round/>
            </a:ln>
            <a:effectLst/>
          </c:spPr>
          <c:marker>
            <c:symbol val="none"/>
          </c:marker>
          <c:xVal>
            <c:numRef>
              <c:f>('Background calcs'!$P$191,'Background calcs'!$P$304)</c:f>
              <c:numCache>
                <c:formatCode>General</c:formatCode>
                <c:ptCount val="2"/>
                <c:pt idx="0">
                  <c:v>-100363</c:v>
                </c:pt>
                <c:pt idx="1">
                  <c:v>-98491.168555825017</c:v>
                </c:pt>
              </c:numCache>
            </c:numRef>
          </c:xVal>
          <c:yVal>
            <c:numLit>
              <c:formatCode>General</c:formatCode>
              <c:ptCount val="2"/>
              <c:pt idx="0">
                <c:v>0</c:v>
              </c:pt>
              <c:pt idx="1">
                <c:v>0</c:v>
              </c:pt>
            </c:numLit>
          </c:yVal>
          <c:smooth val="0"/>
          <c:extLst>
            <c:ext xmlns:c16="http://schemas.microsoft.com/office/drawing/2014/chart" uri="{C3380CC4-5D6E-409C-BE32-E72D297353CC}">
              <c16:uniqueId val="{00000015-2F91-4582-977D-C509886DEE92}"/>
            </c:ext>
          </c:extLst>
        </c:ser>
        <c:ser>
          <c:idx val="54"/>
          <c:order val="25"/>
          <c:tx>
            <c:v>3_St</c:v>
          </c:tx>
          <c:spPr>
            <a:ln w="38100" cap="rnd">
              <a:solidFill>
                <a:srgbClr val="00B050"/>
              </a:solidFill>
              <a:round/>
            </a:ln>
            <a:effectLst/>
          </c:spPr>
          <c:marker>
            <c:symbol val="none"/>
          </c:marker>
          <c:xVal>
            <c:numRef>
              <c:f>('Background calcs'!$P$94,'Background calcs'!$P$97)</c:f>
              <c:numCache>
                <c:formatCode>General</c:formatCode>
                <c:ptCount val="2"/>
                <c:pt idx="0">
                  <c:v>-99155.51802067965</c:v>
                </c:pt>
                <c:pt idx="1">
                  <c:v>-99113.79474722415</c:v>
                </c:pt>
              </c:numCache>
            </c:numRef>
          </c:xVal>
          <c:yVal>
            <c:numRef>
              <c:f>('Background calcs'!$P$96,'Background calcs'!$P$99)</c:f>
              <c:numCache>
                <c:formatCode>General</c:formatCode>
                <c:ptCount val="2"/>
                <c:pt idx="0">
                  <c:v>-100000</c:v>
                </c:pt>
                <c:pt idx="1">
                  <c:v>-100000</c:v>
                </c:pt>
              </c:numCache>
            </c:numRef>
          </c:yVal>
          <c:smooth val="0"/>
          <c:extLst>
            <c:ext xmlns:c16="http://schemas.microsoft.com/office/drawing/2014/chart" uri="{C3380CC4-5D6E-409C-BE32-E72D297353CC}">
              <c16:uniqueId val="{00000018-E085-4636-B723-1B11617F6DF8}"/>
            </c:ext>
          </c:extLst>
        </c:ser>
        <c:ser>
          <c:idx val="21"/>
          <c:order val="26"/>
          <c:tx>
            <c:v>3_C</c:v>
          </c:tx>
          <c:spPr>
            <a:ln w="38100" cap="rnd">
              <a:solidFill>
                <a:srgbClr val="00B050"/>
              </a:solidFill>
              <a:round/>
            </a:ln>
            <a:effectLst/>
          </c:spPr>
          <c:marker>
            <c:symbol val="none"/>
          </c:marker>
          <c:xVal>
            <c:numRef>
              <c:f>('Background calcs'!$P$130,'Background calcs'!$P$100,'Background calcs'!$P$100,'Background calcs'!$P$130)</c:f>
              <c:numCache>
                <c:formatCode>General</c:formatCode>
                <c:ptCount val="4"/>
                <c:pt idx="0">
                  <c:v>-99130.285962295457</c:v>
                </c:pt>
                <c:pt idx="1">
                  <c:v>-99113.79474722415</c:v>
                </c:pt>
                <c:pt idx="2">
                  <c:v>-99113.79474722415</c:v>
                </c:pt>
                <c:pt idx="3">
                  <c:v>-99130.285962295457</c:v>
                </c:pt>
              </c:numCache>
            </c:numRef>
          </c:xVal>
          <c:yVal>
            <c:numRef>
              <c:f>('Background calcs'!$P$132,'Background calcs'!$P$102,'Background calcs'!$P$103,'Background calcs'!$P$133)</c:f>
              <c:numCache>
                <c:formatCode>General</c:formatCode>
                <c:ptCount val="4"/>
                <c:pt idx="0">
                  <c:v>-99741.625209189922</c:v>
                </c:pt>
                <c:pt idx="1">
                  <c:v>-99845.746643325241</c:v>
                </c:pt>
                <c:pt idx="2">
                  <c:v>-100154.25335667476</c:v>
                </c:pt>
                <c:pt idx="3">
                  <c:v>-100258.37479081008</c:v>
                </c:pt>
              </c:numCache>
            </c:numRef>
          </c:yVal>
          <c:smooth val="0"/>
          <c:extLst>
            <c:ext xmlns:c16="http://schemas.microsoft.com/office/drawing/2014/chart" uri="{C3380CC4-5D6E-409C-BE32-E72D297353CC}">
              <c16:uniqueId val="{00000016-2F91-4582-977D-C509886DEE92}"/>
            </c:ext>
          </c:extLst>
        </c:ser>
        <c:ser>
          <c:idx val="22"/>
          <c:order val="27"/>
          <c:tx>
            <c:v>3_LG</c:v>
          </c:tx>
          <c:spPr>
            <a:ln w="63500" cap="rnd">
              <a:solidFill>
                <a:srgbClr val="00B050"/>
              </a:solidFill>
              <a:round/>
            </a:ln>
            <a:effectLst/>
          </c:spPr>
          <c:marker>
            <c:symbol val="none"/>
          </c:marker>
          <c:xVal>
            <c:numRef>
              <c:f>('Background calcs'!$P$130,'Background calcs'!$P$124)</c:f>
              <c:numCache>
                <c:formatCode>General</c:formatCode>
                <c:ptCount val="2"/>
                <c:pt idx="0">
                  <c:v>-99130.285962295457</c:v>
                </c:pt>
                <c:pt idx="1">
                  <c:v>-99151.133347385607</c:v>
                </c:pt>
              </c:numCache>
            </c:numRef>
          </c:xVal>
          <c:yVal>
            <c:numRef>
              <c:f>('Background calcs'!$P$132,'Background calcs'!$P$126)</c:f>
              <c:numCache>
                <c:formatCode>General</c:formatCode>
                <c:ptCount val="2"/>
                <c:pt idx="0">
                  <c:v>-99741.625209189922</c:v>
                </c:pt>
                <c:pt idx="1">
                  <c:v>-99610</c:v>
                </c:pt>
              </c:numCache>
            </c:numRef>
          </c:yVal>
          <c:smooth val="0"/>
          <c:extLst>
            <c:ext xmlns:c16="http://schemas.microsoft.com/office/drawing/2014/chart" uri="{C3380CC4-5D6E-409C-BE32-E72D297353CC}">
              <c16:uniqueId val="{00000017-2F91-4582-977D-C509886DEE92}"/>
            </c:ext>
          </c:extLst>
        </c:ser>
        <c:ser>
          <c:idx val="23"/>
          <c:order val="28"/>
          <c:tx>
            <c:v>3_RG</c:v>
          </c:tx>
          <c:spPr>
            <a:ln w="63500" cap="rnd">
              <a:solidFill>
                <a:srgbClr val="00B050"/>
              </a:solidFill>
              <a:round/>
            </a:ln>
            <a:effectLst/>
          </c:spPr>
          <c:marker>
            <c:symbol val="none"/>
          </c:marker>
          <c:xVal>
            <c:numRef>
              <c:f>('Background calcs'!$P$130,'Background calcs'!$P$124)</c:f>
              <c:numCache>
                <c:formatCode>General</c:formatCode>
                <c:ptCount val="2"/>
                <c:pt idx="0">
                  <c:v>-99130.285962295457</c:v>
                </c:pt>
                <c:pt idx="1">
                  <c:v>-99151.133347385607</c:v>
                </c:pt>
              </c:numCache>
            </c:numRef>
          </c:xVal>
          <c:yVal>
            <c:numRef>
              <c:f>('Background calcs'!$P$133,'Background calcs'!$P$127)</c:f>
              <c:numCache>
                <c:formatCode>General</c:formatCode>
                <c:ptCount val="2"/>
                <c:pt idx="0">
                  <c:v>-100258.37479081008</c:v>
                </c:pt>
                <c:pt idx="1">
                  <c:v>-100390</c:v>
                </c:pt>
              </c:numCache>
            </c:numRef>
          </c:yVal>
          <c:smooth val="0"/>
          <c:extLst>
            <c:ext xmlns:c16="http://schemas.microsoft.com/office/drawing/2014/chart" uri="{C3380CC4-5D6E-409C-BE32-E72D297353CC}">
              <c16:uniqueId val="{00000018-2F91-4582-977D-C509886DEE92}"/>
            </c:ext>
          </c:extLst>
        </c:ser>
        <c:ser>
          <c:idx val="24"/>
          <c:order val="29"/>
          <c:tx>
            <c:v>3_S</c:v>
          </c:tx>
          <c:spPr>
            <a:ln w="19050" cap="rnd">
              <a:solidFill>
                <a:schemeClr val="accent1">
                  <a:lumMod val="60000"/>
                  <a:lumOff val="40000"/>
                </a:schemeClr>
              </a:solidFill>
              <a:round/>
            </a:ln>
            <a:effectLst/>
          </c:spPr>
          <c:marker>
            <c:symbol val="none"/>
          </c:marker>
          <c:xVal>
            <c:numRef>
              <c:f>'Background calcs'!$P$114</c:f>
              <c:numCache>
                <c:formatCode>General</c:formatCode>
                <c:ptCount val="1"/>
                <c:pt idx="0">
                  <c:v>-99786.595327419811</c:v>
                </c:pt>
              </c:numCache>
            </c:numRef>
          </c:xVal>
          <c:yVal>
            <c:numLit>
              <c:formatCode>General</c:formatCode>
              <c:ptCount val="1"/>
              <c:pt idx="0">
                <c:v>0</c:v>
              </c:pt>
            </c:numLit>
          </c:yVal>
          <c:smooth val="0"/>
          <c:extLst>
            <c:ext xmlns:c16="http://schemas.microsoft.com/office/drawing/2014/chart" uri="{C3380CC4-5D6E-409C-BE32-E72D297353CC}">
              <c16:uniqueId val="{00000019-2F91-4582-977D-C509886DEE92}"/>
            </c:ext>
          </c:extLst>
        </c:ser>
        <c:ser>
          <c:idx val="25"/>
          <c:order val="30"/>
          <c:tx>
            <c:v>3m_T</c:v>
          </c:tx>
          <c:spPr>
            <a:ln w="19050" cap="rnd">
              <a:solidFill>
                <a:srgbClr val="80D8A8">
                  <a:alpha val="50000"/>
                </a:srgbClr>
              </a:solidFill>
              <a:round/>
            </a:ln>
            <a:effectLst/>
          </c:spPr>
          <c:marker>
            <c:symbol val="none"/>
          </c:marker>
          <c:xVal>
            <c:numRef>
              <c:f>('Background calcs'!$R$191,'Background calcs'!$R$304)</c:f>
              <c:numCache>
                <c:formatCode>General</c:formatCode>
                <c:ptCount val="2"/>
                <c:pt idx="0">
                  <c:v>-100363</c:v>
                </c:pt>
                <c:pt idx="1">
                  <c:v>-98459.815492558453</c:v>
                </c:pt>
              </c:numCache>
            </c:numRef>
          </c:xVal>
          <c:yVal>
            <c:numLit>
              <c:formatCode>General</c:formatCode>
              <c:ptCount val="2"/>
              <c:pt idx="0">
                <c:v>0</c:v>
              </c:pt>
              <c:pt idx="1">
                <c:v>0</c:v>
              </c:pt>
            </c:numLit>
          </c:yVal>
          <c:smooth val="0"/>
          <c:extLst>
            <c:ext xmlns:c16="http://schemas.microsoft.com/office/drawing/2014/chart" uri="{C3380CC4-5D6E-409C-BE32-E72D297353CC}">
              <c16:uniqueId val="{0000001A-2F91-4582-977D-C509886DEE92}"/>
            </c:ext>
          </c:extLst>
        </c:ser>
        <c:ser>
          <c:idx val="55"/>
          <c:order val="31"/>
          <c:tx>
            <c:v>3m_St</c:v>
          </c:tx>
          <c:spPr>
            <a:ln w="38100" cap="rnd">
              <a:solidFill>
                <a:srgbClr val="80D8A8">
                  <a:alpha val="50000"/>
                </a:srgbClr>
              </a:solidFill>
              <a:round/>
            </a:ln>
            <a:effectLst/>
          </c:spPr>
          <c:marker>
            <c:symbol val="none"/>
          </c:marker>
          <c:xVal>
            <c:numRef>
              <c:f>('Background calcs'!$R$94,'Background calcs'!$R$97)</c:f>
              <c:numCache>
                <c:formatCode>General</c:formatCode>
                <c:ptCount val="2"/>
                <c:pt idx="0">
                  <c:v>-99171.900539787312</c:v>
                </c:pt>
                <c:pt idx="1">
                  <c:v>-99131.001547391366</c:v>
                </c:pt>
              </c:numCache>
            </c:numRef>
          </c:xVal>
          <c:yVal>
            <c:numRef>
              <c:f>('Background calcs'!$R$96,'Background calcs'!$R$99)</c:f>
              <c:numCache>
                <c:formatCode>General</c:formatCode>
                <c:ptCount val="2"/>
                <c:pt idx="0">
                  <c:v>-100000</c:v>
                </c:pt>
                <c:pt idx="1">
                  <c:v>-100000</c:v>
                </c:pt>
              </c:numCache>
            </c:numRef>
          </c:yVal>
          <c:smooth val="0"/>
          <c:extLst>
            <c:ext xmlns:c16="http://schemas.microsoft.com/office/drawing/2014/chart" uri="{C3380CC4-5D6E-409C-BE32-E72D297353CC}">
              <c16:uniqueId val="{00000019-E085-4636-B723-1B11617F6DF8}"/>
            </c:ext>
          </c:extLst>
        </c:ser>
        <c:ser>
          <c:idx val="26"/>
          <c:order val="32"/>
          <c:tx>
            <c:v>3m_C</c:v>
          </c:tx>
          <c:spPr>
            <a:ln w="38100" cap="rnd">
              <a:solidFill>
                <a:srgbClr val="80D8A8">
                  <a:alpha val="50000"/>
                </a:srgbClr>
              </a:solidFill>
              <a:round/>
            </a:ln>
            <a:effectLst/>
          </c:spPr>
          <c:marker>
            <c:symbol val="none"/>
          </c:marker>
          <c:xVal>
            <c:numRef>
              <c:f>('Background calcs'!$R$130,'Background calcs'!$R$100,'Background calcs'!$R$100,'Background calcs'!$R$130)</c:f>
              <c:numCache>
                <c:formatCode>General</c:formatCode>
                <c:ptCount val="4"/>
                <c:pt idx="0">
                  <c:v>-99147.492762462673</c:v>
                </c:pt>
                <c:pt idx="1">
                  <c:v>-99131.001547391366</c:v>
                </c:pt>
                <c:pt idx="2">
                  <c:v>-99131.001547391366</c:v>
                </c:pt>
                <c:pt idx="3">
                  <c:v>-99147.492762462673</c:v>
                </c:pt>
              </c:numCache>
            </c:numRef>
          </c:xVal>
          <c:yVal>
            <c:numRef>
              <c:f>('Background calcs'!$R$132,'Background calcs'!$R$102,'Background calcs'!$R$103,'Background calcs'!$R$133)</c:f>
              <c:numCache>
                <c:formatCode>General</c:formatCode>
                <c:ptCount val="4"/>
                <c:pt idx="0">
                  <c:v>-99741.625209189922</c:v>
                </c:pt>
                <c:pt idx="1">
                  <c:v>-99845.746643325241</c:v>
                </c:pt>
                <c:pt idx="2">
                  <c:v>-100154.25335667476</c:v>
                </c:pt>
                <c:pt idx="3">
                  <c:v>-100258.37479081008</c:v>
                </c:pt>
              </c:numCache>
            </c:numRef>
          </c:yVal>
          <c:smooth val="0"/>
          <c:extLst>
            <c:ext xmlns:c16="http://schemas.microsoft.com/office/drawing/2014/chart" uri="{C3380CC4-5D6E-409C-BE32-E72D297353CC}">
              <c16:uniqueId val="{0000001B-2F91-4582-977D-C509886DEE92}"/>
            </c:ext>
          </c:extLst>
        </c:ser>
        <c:ser>
          <c:idx val="27"/>
          <c:order val="33"/>
          <c:tx>
            <c:v>3m_LG</c:v>
          </c:tx>
          <c:spPr>
            <a:ln w="63500" cap="rnd">
              <a:solidFill>
                <a:srgbClr val="80D8A8">
                  <a:alpha val="50000"/>
                </a:srgbClr>
              </a:solidFill>
              <a:round/>
            </a:ln>
            <a:effectLst/>
          </c:spPr>
          <c:marker>
            <c:symbol val="none"/>
          </c:marker>
          <c:xVal>
            <c:numRef>
              <c:f>('Background calcs'!$R$130,'Background calcs'!$R$124)</c:f>
              <c:numCache>
                <c:formatCode>General</c:formatCode>
                <c:ptCount val="2"/>
                <c:pt idx="0">
                  <c:v>-99147.492762462673</c:v>
                </c:pt>
                <c:pt idx="1">
                  <c:v>-99168.340147552823</c:v>
                </c:pt>
              </c:numCache>
            </c:numRef>
          </c:xVal>
          <c:yVal>
            <c:numRef>
              <c:f>('Background calcs'!$R$132,'Background calcs'!$R$126)</c:f>
              <c:numCache>
                <c:formatCode>General</c:formatCode>
                <c:ptCount val="2"/>
                <c:pt idx="0">
                  <c:v>-99741.625209189922</c:v>
                </c:pt>
                <c:pt idx="1">
                  <c:v>-99610</c:v>
                </c:pt>
              </c:numCache>
            </c:numRef>
          </c:yVal>
          <c:smooth val="0"/>
          <c:extLst>
            <c:ext xmlns:c16="http://schemas.microsoft.com/office/drawing/2014/chart" uri="{C3380CC4-5D6E-409C-BE32-E72D297353CC}">
              <c16:uniqueId val="{0000001C-2F91-4582-977D-C509886DEE92}"/>
            </c:ext>
          </c:extLst>
        </c:ser>
        <c:ser>
          <c:idx val="28"/>
          <c:order val="34"/>
          <c:tx>
            <c:v>3m_RG</c:v>
          </c:tx>
          <c:spPr>
            <a:ln w="63500" cap="rnd">
              <a:solidFill>
                <a:srgbClr val="80D8A8">
                  <a:alpha val="50000"/>
                </a:srgbClr>
              </a:solidFill>
              <a:round/>
            </a:ln>
            <a:effectLst/>
          </c:spPr>
          <c:marker>
            <c:symbol val="none"/>
          </c:marker>
          <c:dPt>
            <c:idx val="1"/>
            <c:marker>
              <c:symbol val="none"/>
            </c:marker>
            <c:bubble3D val="0"/>
            <c:spPr>
              <a:ln w="63500" cap="rnd">
                <a:solidFill>
                  <a:srgbClr val="80D8A8">
                    <a:alpha val="50000"/>
                  </a:srgbClr>
                </a:solidFill>
                <a:round/>
              </a:ln>
              <a:effectLst/>
            </c:spPr>
            <c:extLst>
              <c:ext xmlns:c16="http://schemas.microsoft.com/office/drawing/2014/chart" uri="{C3380CC4-5D6E-409C-BE32-E72D297353CC}">
                <c16:uniqueId val="{0000000C-7FF5-4957-9E67-C7697E598EC9}"/>
              </c:ext>
            </c:extLst>
          </c:dPt>
          <c:xVal>
            <c:numRef>
              <c:f>('Background calcs'!$R$130,'Background calcs'!$R$124)</c:f>
              <c:numCache>
                <c:formatCode>General</c:formatCode>
                <c:ptCount val="2"/>
                <c:pt idx="0">
                  <c:v>-99147.492762462673</c:v>
                </c:pt>
                <c:pt idx="1">
                  <c:v>-99168.340147552823</c:v>
                </c:pt>
              </c:numCache>
            </c:numRef>
          </c:xVal>
          <c:yVal>
            <c:numRef>
              <c:f>('Background calcs'!$R$133,'Background calcs'!$R$127)</c:f>
              <c:numCache>
                <c:formatCode>General</c:formatCode>
                <c:ptCount val="2"/>
                <c:pt idx="0">
                  <c:v>-100258.37479081008</c:v>
                </c:pt>
                <c:pt idx="1">
                  <c:v>-100390</c:v>
                </c:pt>
              </c:numCache>
            </c:numRef>
          </c:yVal>
          <c:smooth val="0"/>
          <c:extLst>
            <c:ext xmlns:c16="http://schemas.microsoft.com/office/drawing/2014/chart" uri="{C3380CC4-5D6E-409C-BE32-E72D297353CC}">
              <c16:uniqueId val="{0000001D-2F91-4582-977D-C509886DEE92}"/>
            </c:ext>
          </c:extLst>
        </c:ser>
        <c:ser>
          <c:idx val="29"/>
          <c:order val="35"/>
          <c:tx>
            <c:v>3m_S</c:v>
          </c:tx>
          <c:spPr>
            <a:ln w="19050" cap="rnd">
              <a:solidFill>
                <a:schemeClr val="accent6">
                  <a:lumMod val="60000"/>
                  <a:lumOff val="40000"/>
                </a:schemeClr>
              </a:solidFill>
              <a:round/>
            </a:ln>
            <a:effectLst/>
          </c:spPr>
          <c:marker>
            <c:symbol val="x"/>
            <c:size val="11"/>
            <c:spPr>
              <a:noFill/>
              <a:ln w="19050">
                <a:solidFill>
                  <a:srgbClr val="80D8A8">
                    <a:alpha val="50000"/>
                  </a:srgbClr>
                </a:solidFill>
              </a:ln>
              <a:effectLst/>
            </c:spPr>
          </c:marker>
          <c:xVal>
            <c:numRef>
              <c:f>'Background calcs'!$R$114</c:f>
              <c:numCache>
                <c:formatCode>General</c:formatCode>
                <c:ptCount val="1"/>
                <c:pt idx="0">
                  <c:v>-99799.854588674614</c:v>
                </c:pt>
              </c:numCache>
            </c:numRef>
          </c:xVal>
          <c:yVal>
            <c:numLit>
              <c:formatCode>General</c:formatCode>
              <c:ptCount val="1"/>
              <c:pt idx="0">
                <c:v>0</c:v>
              </c:pt>
            </c:numLit>
          </c:yVal>
          <c:smooth val="0"/>
          <c:extLst>
            <c:ext xmlns:c16="http://schemas.microsoft.com/office/drawing/2014/chart" uri="{C3380CC4-5D6E-409C-BE32-E72D297353CC}">
              <c16:uniqueId val="{0000001E-2F91-4582-977D-C509886DEE92}"/>
            </c:ext>
          </c:extLst>
        </c:ser>
        <c:ser>
          <c:idx val="30"/>
          <c:order val="36"/>
          <c:tx>
            <c:v>4_T</c:v>
          </c:tx>
          <c:spPr>
            <a:ln w="19050" cap="rnd">
              <a:solidFill>
                <a:srgbClr val="7030A0"/>
              </a:solidFill>
              <a:round/>
            </a:ln>
            <a:effectLst/>
          </c:spPr>
          <c:marker>
            <c:symbol val="none"/>
          </c:marker>
          <c:xVal>
            <c:numRef>
              <c:f>('Background calcs'!$T$191,'Background calcs'!$T$304)</c:f>
              <c:numCache>
                <c:formatCode>General</c:formatCode>
                <c:ptCount val="2"/>
                <c:pt idx="0">
                  <c:v>-100372</c:v>
                </c:pt>
                <c:pt idx="1">
                  <c:v>-98435.290253128565</c:v>
                </c:pt>
              </c:numCache>
            </c:numRef>
          </c:xVal>
          <c:yVal>
            <c:numLit>
              <c:formatCode>General</c:formatCode>
              <c:ptCount val="2"/>
              <c:pt idx="0">
                <c:v>0</c:v>
              </c:pt>
              <c:pt idx="1">
                <c:v>0</c:v>
              </c:pt>
            </c:numLit>
          </c:yVal>
          <c:smooth val="0"/>
          <c:extLst>
            <c:ext xmlns:c16="http://schemas.microsoft.com/office/drawing/2014/chart" uri="{C3380CC4-5D6E-409C-BE32-E72D297353CC}">
              <c16:uniqueId val="{0000001F-2F91-4582-977D-C509886DEE92}"/>
            </c:ext>
          </c:extLst>
        </c:ser>
        <c:ser>
          <c:idx val="56"/>
          <c:order val="37"/>
          <c:tx>
            <c:v>4_St</c:v>
          </c:tx>
          <c:spPr>
            <a:ln w="38100" cap="rnd">
              <a:solidFill>
                <a:srgbClr val="7030A0"/>
              </a:solidFill>
              <a:round/>
            </a:ln>
            <a:effectLst/>
          </c:spPr>
          <c:marker>
            <c:symbol val="none"/>
          </c:marker>
          <c:xVal>
            <c:numRef>
              <c:f>('Background calcs'!$T$94,'Background calcs'!$T$97)</c:f>
              <c:numCache>
                <c:formatCode>General</c:formatCode>
                <c:ptCount val="2"/>
                <c:pt idx="0">
                  <c:v>-99120.759044052364</c:v>
                </c:pt>
                <c:pt idx="1">
                  <c:v>-99084.076641076957</c:v>
                </c:pt>
              </c:numCache>
            </c:numRef>
          </c:xVal>
          <c:yVal>
            <c:numRef>
              <c:f>('Background calcs'!$T$96,'Background calcs'!$T$99)</c:f>
              <c:numCache>
                <c:formatCode>General</c:formatCode>
                <c:ptCount val="2"/>
                <c:pt idx="0">
                  <c:v>-100000</c:v>
                </c:pt>
                <c:pt idx="1">
                  <c:v>-100000</c:v>
                </c:pt>
              </c:numCache>
            </c:numRef>
          </c:yVal>
          <c:smooth val="0"/>
          <c:extLst>
            <c:ext xmlns:c16="http://schemas.microsoft.com/office/drawing/2014/chart" uri="{C3380CC4-5D6E-409C-BE32-E72D297353CC}">
              <c16:uniqueId val="{0000001A-E085-4636-B723-1B11617F6DF8}"/>
            </c:ext>
          </c:extLst>
        </c:ser>
        <c:ser>
          <c:idx val="31"/>
          <c:order val="38"/>
          <c:tx>
            <c:v>4_C</c:v>
          </c:tx>
          <c:spPr>
            <a:ln w="38100" cap="rnd">
              <a:solidFill>
                <a:srgbClr val="7030A0"/>
              </a:solidFill>
              <a:round/>
            </a:ln>
            <a:effectLst/>
          </c:spPr>
          <c:marker>
            <c:symbol val="none"/>
          </c:marker>
          <c:xVal>
            <c:numRef>
              <c:f>('Background calcs'!$T$130,'Background calcs'!$T$100,'Background calcs'!$T$100,'Background calcs'!$T$130)</c:f>
              <c:numCache>
                <c:formatCode>General</c:formatCode>
                <c:ptCount val="4"/>
                <c:pt idx="0">
                  <c:v>-99101.37479057553</c:v>
                </c:pt>
                <c:pt idx="1">
                  <c:v>-99084.076641076957</c:v>
                </c:pt>
                <c:pt idx="2">
                  <c:v>-99084.076641076957</c:v>
                </c:pt>
                <c:pt idx="3">
                  <c:v>-99101.37479057553</c:v>
                </c:pt>
              </c:numCache>
            </c:numRef>
          </c:xVal>
          <c:yVal>
            <c:numRef>
              <c:f>('Background calcs'!$T$132,'Background calcs'!$T$102,'Background calcs'!$T$103,'Background calcs'!$T$133)</c:f>
              <c:numCache>
                <c:formatCode>General</c:formatCode>
                <c:ptCount val="4"/>
                <c:pt idx="0">
                  <c:v>-99736.846605027895</c:v>
                </c:pt>
                <c:pt idx="1">
                  <c:v>-99846.062822625638</c:v>
                </c:pt>
                <c:pt idx="2">
                  <c:v>-100153.93717737436</c:v>
                </c:pt>
                <c:pt idx="3">
                  <c:v>-100263.15339497211</c:v>
                </c:pt>
              </c:numCache>
            </c:numRef>
          </c:yVal>
          <c:smooth val="0"/>
          <c:extLst>
            <c:ext xmlns:c16="http://schemas.microsoft.com/office/drawing/2014/chart" uri="{C3380CC4-5D6E-409C-BE32-E72D297353CC}">
              <c16:uniqueId val="{00000020-2F91-4582-977D-C509886DEE92}"/>
            </c:ext>
          </c:extLst>
        </c:ser>
        <c:ser>
          <c:idx val="32"/>
          <c:order val="39"/>
          <c:tx>
            <c:v>4_LG</c:v>
          </c:tx>
          <c:spPr>
            <a:ln w="63500" cap="rnd">
              <a:solidFill>
                <a:srgbClr val="7030A0"/>
              </a:solidFill>
              <a:round/>
            </a:ln>
            <a:effectLst/>
          </c:spPr>
          <c:marker>
            <c:symbol val="none"/>
          </c:marker>
          <c:xVal>
            <c:numRef>
              <c:f>('Background calcs'!$T$130,'Background calcs'!$T$124)</c:f>
              <c:numCache>
                <c:formatCode>General</c:formatCode>
                <c:ptCount val="2"/>
                <c:pt idx="0">
                  <c:v>-99101.37479057553</c:v>
                </c:pt>
                <c:pt idx="1">
                  <c:v>-99122.257241321568</c:v>
                </c:pt>
              </c:numCache>
            </c:numRef>
          </c:xVal>
          <c:yVal>
            <c:numRef>
              <c:f>('Background calcs'!$T$132,'Background calcs'!$T$126)</c:f>
              <c:numCache>
                <c:formatCode>General</c:formatCode>
                <c:ptCount val="2"/>
                <c:pt idx="0">
                  <c:v>-99736.846605027895</c:v>
                </c:pt>
                <c:pt idx="1">
                  <c:v>-99605</c:v>
                </c:pt>
              </c:numCache>
            </c:numRef>
          </c:yVal>
          <c:smooth val="0"/>
          <c:extLst>
            <c:ext xmlns:c16="http://schemas.microsoft.com/office/drawing/2014/chart" uri="{C3380CC4-5D6E-409C-BE32-E72D297353CC}">
              <c16:uniqueId val="{00000021-2F91-4582-977D-C509886DEE92}"/>
            </c:ext>
          </c:extLst>
        </c:ser>
        <c:ser>
          <c:idx val="33"/>
          <c:order val="40"/>
          <c:tx>
            <c:v>4_RG</c:v>
          </c:tx>
          <c:spPr>
            <a:ln w="63500" cap="rnd">
              <a:solidFill>
                <a:srgbClr val="7030A0"/>
              </a:solidFill>
              <a:round/>
            </a:ln>
            <a:effectLst/>
          </c:spPr>
          <c:marker>
            <c:symbol val="none"/>
          </c:marker>
          <c:dPt>
            <c:idx val="1"/>
            <c:marker>
              <c:symbol val="none"/>
            </c:marker>
            <c:bubble3D val="0"/>
            <c:spPr>
              <a:ln w="63500" cap="rnd">
                <a:solidFill>
                  <a:srgbClr val="7030A0"/>
                </a:solidFill>
                <a:round/>
              </a:ln>
              <a:effectLst/>
            </c:spPr>
            <c:extLst>
              <c:ext xmlns:c16="http://schemas.microsoft.com/office/drawing/2014/chart" uri="{C3380CC4-5D6E-409C-BE32-E72D297353CC}">
                <c16:uniqueId val="{0000000E-7FF5-4957-9E67-C7697E598EC9}"/>
              </c:ext>
            </c:extLst>
          </c:dPt>
          <c:xVal>
            <c:numRef>
              <c:f>('Background calcs'!$T$130,'Background calcs'!$T$124)</c:f>
              <c:numCache>
                <c:formatCode>General</c:formatCode>
                <c:ptCount val="2"/>
                <c:pt idx="0">
                  <c:v>-99101.37479057553</c:v>
                </c:pt>
                <c:pt idx="1">
                  <c:v>-99122.257241321568</c:v>
                </c:pt>
              </c:numCache>
            </c:numRef>
          </c:xVal>
          <c:yVal>
            <c:numRef>
              <c:f>('Background calcs'!$T$133,'Background calcs'!$T$127)</c:f>
              <c:numCache>
                <c:formatCode>General</c:formatCode>
                <c:ptCount val="2"/>
                <c:pt idx="0">
                  <c:v>-100263.15339497211</c:v>
                </c:pt>
                <c:pt idx="1">
                  <c:v>-100395</c:v>
                </c:pt>
              </c:numCache>
            </c:numRef>
          </c:yVal>
          <c:smooth val="0"/>
          <c:extLst>
            <c:ext xmlns:c16="http://schemas.microsoft.com/office/drawing/2014/chart" uri="{C3380CC4-5D6E-409C-BE32-E72D297353CC}">
              <c16:uniqueId val="{00000022-2F91-4582-977D-C509886DEE92}"/>
            </c:ext>
          </c:extLst>
        </c:ser>
        <c:ser>
          <c:idx val="34"/>
          <c:order val="41"/>
          <c:tx>
            <c:v>4_S</c:v>
          </c:tx>
          <c:spPr>
            <a:ln w="19050" cap="rnd">
              <a:solidFill>
                <a:schemeClr val="accent5">
                  <a:lumMod val="50000"/>
                </a:schemeClr>
              </a:solidFill>
              <a:round/>
            </a:ln>
            <a:effectLst/>
          </c:spPr>
          <c:marker>
            <c:symbol val="x"/>
            <c:size val="11"/>
            <c:spPr>
              <a:noFill/>
              <a:ln w="19050">
                <a:solidFill>
                  <a:srgbClr val="7030A0"/>
                </a:solidFill>
              </a:ln>
              <a:effectLst/>
            </c:spPr>
          </c:marker>
          <c:xVal>
            <c:numRef>
              <c:f>'Background calcs'!$T$114</c:f>
              <c:numCache>
                <c:formatCode>General</c:formatCode>
                <c:ptCount val="1"/>
                <c:pt idx="0">
                  <c:v>-99780.490214727484</c:v>
                </c:pt>
              </c:numCache>
            </c:numRef>
          </c:xVal>
          <c:yVal>
            <c:numLit>
              <c:formatCode>General</c:formatCode>
              <c:ptCount val="1"/>
              <c:pt idx="0">
                <c:v>0</c:v>
              </c:pt>
            </c:numLit>
          </c:yVal>
          <c:smooth val="0"/>
          <c:extLst>
            <c:ext xmlns:c16="http://schemas.microsoft.com/office/drawing/2014/chart" uri="{C3380CC4-5D6E-409C-BE32-E72D297353CC}">
              <c16:uniqueId val="{00000023-2F91-4582-977D-C509886DEE92}"/>
            </c:ext>
          </c:extLst>
        </c:ser>
        <c:ser>
          <c:idx val="35"/>
          <c:order val="42"/>
          <c:tx>
            <c:v>4m_T</c:v>
          </c:tx>
          <c:spPr>
            <a:ln w="19050" cap="rnd">
              <a:solidFill>
                <a:srgbClr val="B898D0">
                  <a:alpha val="50000"/>
                </a:srgbClr>
              </a:solidFill>
              <a:round/>
            </a:ln>
            <a:effectLst/>
          </c:spPr>
          <c:marker>
            <c:symbol val="none"/>
          </c:marker>
          <c:xVal>
            <c:numRef>
              <c:f>('Background calcs'!$V$191,'Background calcs'!$V$304)</c:f>
              <c:numCache>
                <c:formatCode>General</c:formatCode>
                <c:ptCount val="2"/>
                <c:pt idx="0">
                  <c:v>-100372</c:v>
                </c:pt>
                <c:pt idx="1">
                  <c:v>-98418.758703440195</c:v>
                </c:pt>
              </c:numCache>
            </c:numRef>
          </c:xVal>
          <c:yVal>
            <c:numLit>
              <c:formatCode>General</c:formatCode>
              <c:ptCount val="2"/>
              <c:pt idx="0">
                <c:v>0</c:v>
              </c:pt>
              <c:pt idx="1">
                <c:v>0</c:v>
              </c:pt>
            </c:numLit>
          </c:yVal>
          <c:smooth val="0"/>
          <c:extLst>
            <c:ext xmlns:c16="http://schemas.microsoft.com/office/drawing/2014/chart" uri="{C3380CC4-5D6E-409C-BE32-E72D297353CC}">
              <c16:uniqueId val="{00000024-2F91-4582-977D-C509886DEE92}"/>
            </c:ext>
          </c:extLst>
        </c:ser>
        <c:ser>
          <c:idx val="57"/>
          <c:order val="43"/>
          <c:tx>
            <c:v>4m_St</c:v>
          </c:tx>
          <c:spPr>
            <a:ln w="38100" cap="rnd">
              <a:solidFill>
                <a:srgbClr val="B898D0">
                  <a:alpha val="50000"/>
                </a:srgbClr>
              </a:solidFill>
              <a:round/>
            </a:ln>
            <a:effectLst/>
          </c:spPr>
          <c:marker>
            <c:symbol val="none"/>
          </c:marker>
          <c:xVal>
            <c:numRef>
              <c:f>('Background calcs'!$V$94,'Background calcs'!$V$97)</c:f>
              <c:numCache>
                <c:formatCode>General</c:formatCode>
                <c:ptCount val="2"/>
                <c:pt idx="0">
                  <c:v>-99120.977446186633</c:v>
                </c:pt>
                <c:pt idx="1">
                  <c:v>-99084.745057253764</c:v>
                </c:pt>
              </c:numCache>
            </c:numRef>
          </c:xVal>
          <c:yVal>
            <c:numRef>
              <c:f>('Background calcs'!$V$96,'Background calcs'!$V$99)</c:f>
              <c:numCache>
                <c:formatCode>General</c:formatCode>
                <c:ptCount val="2"/>
                <c:pt idx="0">
                  <c:v>-100000</c:v>
                </c:pt>
                <c:pt idx="1">
                  <c:v>-100000</c:v>
                </c:pt>
              </c:numCache>
            </c:numRef>
          </c:yVal>
          <c:smooth val="0"/>
          <c:extLst>
            <c:ext xmlns:c16="http://schemas.microsoft.com/office/drawing/2014/chart" uri="{C3380CC4-5D6E-409C-BE32-E72D297353CC}">
              <c16:uniqueId val="{0000001B-E085-4636-B723-1B11617F6DF8}"/>
            </c:ext>
          </c:extLst>
        </c:ser>
        <c:ser>
          <c:idx val="36"/>
          <c:order val="44"/>
          <c:tx>
            <c:v>4m_C</c:v>
          </c:tx>
          <c:spPr>
            <a:ln w="38100" cap="rnd">
              <a:solidFill>
                <a:srgbClr val="B898D0">
                  <a:alpha val="50000"/>
                </a:srgbClr>
              </a:solidFill>
              <a:round/>
            </a:ln>
            <a:effectLst/>
          </c:spPr>
          <c:marker>
            <c:symbol val="none"/>
          </c:marker>
          <c:xVal>
            <c:numRef>
              <c:f>('Background calcs'!$V$130,'Background calcs'!$V$100,'Background calcs'!$V$100,'Background calcs'!$V$130)</c:f>
              <c:numCache>
                <c:formatCode>General</c:formatCode>
                <c:ptCount val="4"/>
                <c:pt idx="0">
                  <c:v>-99102.043206752336</c:v>
                </c:pt>
                <c:pt idx="1">
                  <c:v>-99084.745057253764</c:v>
                </c:pt>
                <c:pt idx="2">
                  <c:v>-99084.745057253764</c:v>
                </c:pt>
                <c:pt idx="3">
                  <c:v>-99102.043206752336</c:v>
                </c:pt>
              </c:numCache>
            </c:numRef>
          </c:xVal>
          <c:yVal>
            <c:numRef>
              <c:f>('Background calcs'!$V$132,'Background calcs'!$V$102,'Background calcs'!$V$103,'Background calcs'!$V$133)</c:f>
              <c:numCache>
                <c:formatCode>General</c:formatCode>
                <c:ptCount val="4"/>
                <c:pt idx="0">
                  <c:v>-99736.846605027895</c:v>
                </c:pt>
                <c:pt idx="1">
                  <c:v>-99846.062822625638</c:v>
                </c:pt>
                <c:pt idx="2">
                  <c:v>-100153.93717737436</c:v>
                </c:pt>
                <c:pt idx="3">
                  <c:v>-100263.15339497211</c:v>
                </c:pt>
              </c:numCache>
            </c:numRef>
          </c:yVal>
          <c:smooth val="0"/>
          <c:extLst>
            <c:ext xmlns:c16="http://schemas.microsoft.com/office/drawing/2014/chart" uri="{C3380CC4-5D6E-409C-BE32-E72D297353CC}">
              <c16:uniqueId val="{00000025-2F91-4582-977D-C509886DEE92}"/>
            </c:ext>
          </c:extLst>
        </c:ser>
        <c:ser>
          <c:idx val="37"/>
          <c:order val="45"/>
          <c:tx>
            <c:v>4m_LG</c:v>
          </c:tx>
          <c:spPr>
            <a:ln w="63500" cap="rnd">
              <a:solidFill>
                <a:srgbClr val="B898D0">
                  <a:alpha val="50000"/>
                </a:srgbClr>
              </a:solidFill>
              <a:round/>
            </a:ln>
            <a:effectLst/>
          </c:spPr>
          <c:marker>
            <c:symbol val="none"/>
          </c:marker>
          <c:dPt>
            <c:idx val="0"/>
            <c:marker>
              <c:symbol val="none"/>
            </c:marker>
            <c:bubble3D val="0"/>
            <c:spPr>
              <a:ln w="63500" cap="rnd">
                <a:solidFill>
                  <a:srgbClr val="B898D0">
                    <a:alpha val="50000"/>
                  </a:srgbClr>
                </a:solidFill>
                <a:round/>
              </a:ln>
              <a:effectLst/>
            </c:spPr>
            <c:extLst>
              <c:ext xmlns:c16="http://schemas.microsoft.com/office/drawing/2014/chart" uri="{C3380CC4-5D6E-409C-BE32-E72D297353CC}">
                <c16:uniqueId val="{00000008-2131-4457-9713-9541F25B1F8A}"/>
              </c:ext>
            </c:extLst>
          </c:dPt>
          <c:xVal>
            <c:numRef>
              <c:f>('Background calcs'!$V$130,'Background calcs'!$V$124)</c:f>
              <c:numCache>
                <c:formatCode>General</c:formatCode>
                <c:ptCount val="2"/>
                <c:pt idx="0">
                  <c:v>-99102.043206752336</c:v>
                </c:pt>
                <c:pt idx="1">
                  <c:v>-99122.925657498374</c:v>
                </c:pt>
              </c:numCache>
            </c:numRef>
          </c:xVal>
          <c:yVal>
            <c:numRef>
              <c:f>('Background calcs'!$V$132,'Background calcs'!$V$126)</c:f>
              <c:numCache>
                <c:formatCode>General</c:formatCode>
                <c:ptCount val="2"/>
                <c:pt idx="0">
                  <c:v>-99736.846605027895</c:v>
                </c:pt>
                <c:pt idx="1">
                  <c:v>-99605</c:v>
                </c:pt>
              </c:numCache>
            </c:numRef>
          </c:yVal>
          <c:smooth val="0"/>
          <c:extLst>
            <c:ext xmlns:c16="http://schemas.microsoft.com/office/drawing/2014/chart" uri="{C3380CC4-5D6E-409C-BE32-E72D297353CC}">
              <c16:uniqueId val="{00000026-2F91-4582-977D-C509886DEE92}"/>
            </c:ext>
          </c:extLst>
        </c:ser>
        <c:ser>
          <c:idx val="38"/>
          <c:order val="46"/>
          <c:tx>
            <c:v>4m_RG</c:v>
          </c:tx>
          <c:spPr>
            <a:ln w="63500" cap="rnd">
              <a:solidFill>
                <a:srgbClr val="B898D0">
                  <a:alpha val="50000"/>
                </a:srgbClr>
              </a:solidFill>
              <a:round/>
            </a:ln>
            <a:effectLst/>
          </c:spPr>
          <c:marker>
            <c:symbol val="none"/>
          </c:marker>
          <c:dPt>
            <c:idx val="0"/>
            <c:marker>
              <c:symbol val="none"/>
            </c:marker>
            <c:bubble3D val="0"/>
            <c:spPr>
              <a:ln w="63500" cap="rnd">
                <a:solidFill>
                  <a:srgbClr val="B898D0">
                    <a:alpha val="50000"/>
                  </a:srgbClr>
                </a:solidFill>
                <a:round/>
              </a:ln>
              <a:effectLst/>
            </c:spPr>
            <c:extLst>
              <c:ext xmlns:c16="http://schemas.microsoft.com/office/drawing/2014/chart" uri="{C3380CC4-5D6E-409C-BE32-E72D297353CC}">
                <c16:uniqueId val="{0000000A-2131-4457-9713-9541F25B1F8A}"/>
              </c:ext>
            </c:extLst>
          </c:dPt>
          <c:dPt>
            <c:idx val="1"/>
            <c:marker>
              <c:symbol val="none"/>
            </c:marker>
            <c:bubble3D val="0"/>
            <c:spPr>
              <a:ln w="63500" cap="rnd">
                <a:solidFill>
                  <a:srgbClr val="B898D0">
                    <a:alpha val="50000"/>
                  </a:srgbClr>
                </a:solidFill>
                <a:round/>
              </a:ln>
              <a:effectLst/>
            </c:spPr>
            <c:extLst>
              <c:ext xmlns:c16="http://schemas.microsoft.com/office/drawing/2014/chart" uri="{C3380CC4-5D6E-409C-BE32-E72D297353CC}">
                <c16:uniqueId val="{00000014-7FF5-4957-9E67-C7697E598EC9}"/>
              </c:ext>
            </c:extLst>
          </c:dPt>
          <c:xVal>
            <c:numRef>
              <c:f>('Background calcs'!$V$130,'Background calcs'!$V$124)</c:f>
              <c:numCache>
                <c:formatCode>General</c:formatCode>
                <c:ptCount val="2"/>
                <c:pt idx="0">
                  <c:v>-99102.043206752336</c:v>
                </c:pt>
                <c:pt idx="1">
                  <c:v>-99122.925657498374</c:v>
                </c:pt>
              </c:numCache>
            </c:numRef>
          </c:xVal>
          <c:yVal>
            <c:numRef>
              <c:f>('Background calcs'!$V$133,'Background calcs'!$V$127)</c:f>
              <c:numCache>
                <c:formatCode>General</c:formatCode>
                <c:ptCount val="2"/>
                <c:pt idx="0">
                  <c:v>-100263.15339497211</c:v>
                </c:pt>
                <c:pt idx="1">
                  <c:v>-100395</c:v>
                </c:pt>
              </c:numCache>
            </c:numRef>
          </c:yVal>
          <c:smooth val="0"/>
          <c:extLst>
            <c:ext xmlns:c16="http://schemas.microsoft.com/office/drawing/2014/chart" uri="{C3380CC4-5D6E-409C-BE32-E72D297353CC}">
              <c16:uniqueId val="{00000027-2F91-4582-977D-C509886DEE92}"/>
            </c:ext>
          </c:extLst>
        </c:ser>
        <c:ser>
          <c:idx val="39"/>
          <c:order val="47"/>
          <c:tx>
            <c:v>4m_S</c:v>
          </c:tx>
          <c:spPr>
            <a:ln w="19050" cap="rnd">
              <a:solidFill>
                <a:schemeClr val="accent4">
                  <a:lumMod val="70000"/>
                  <a:lumOff val="30000"/>
                </a:schemeClr>
              </a:solidFill>
              <a:round/>
            </a:ln>
            <a:effectLst/>
          </c:spPr>
          <c:marker>
            <c:symbol val="x"/>
            <c:size val="11"/>
            <c:spPr>
              <a:noFill/>
              <a:ln w="19050">
                <a:solidFill>
                  <a:srgbClr val="B898D0">
                    <a:alpha val="50000"/>
                  </a:srgbClr>
                </a:solidFill>
              </a:ln>
              <a:effectLst/>
            </c:spPr>
          </c:marker>
          <c:xVal>
            <c:numRef>
              <c:f>'Background calcs'!$V$114</c:f>
              <c:numCache>
                <c:formatCode>General</c:formatCode>
                <c:ptCount val="1"/>
                <c:pt idx="0">
                  <c:v>-99775.508893696402</c:v>
                </c:pt>
              </c:numCache>
            </c:numRef>
          </c:xVal>
          <c:yVal>
            <c:numLit>
              <c:formatCode>General</c:formatCode>
              <c:ptCount val="1"/>
              <c:pt idx="0">
                <c:v>0</c:v>
              </c:pt>
            </c:numLit>
          </c:yVal>
          <c:smooth val="0"/>
          <c:extLst>
            <c:ext xmlns:c16="http://schemas.microsoft.com/office/drawing/2014/chart" uri="{C3380CC4-5D6E-409C-BE32-E72D297353CC}">
              <c16:uniqueId val="{00000028-2F91-4582-977D-C509886DEE92}"/>
            </c:ext>
          </c:extLst>
        </c:ser>
        <c:ser>
          <c:idx val="40"/>
          <c:order val="48"/>
          <c:tx>
            <c:v>5_T</c:v>
          </c:tx>
          <c:spPr>
            <a:ln w="19050" cap="rnd">
              <a:solidFill>
                <a:schemeClr val="tx1"/>
              </a:solidFill>
              <a:round/>
            </a:ln>
            <a:effectLst/>
          </c:spPr>
          <c:marker>
            <c:symbol val="none"/>
          </c:marker>
          <c:xVal>
            <c:numRef>
              <c:f>('Background calcs'!$X$191,'Background calcs'!$X$304)</c:f>
              <c:numCache>
                <c:formatCode>General</c:formatCode>
                <c:ptCount val="2"/>
                <c:pt idx="0">
                  <c:v>-100382.5</c:v>
                </c:pt>
                <c:pt idx="1">
                  <c:v>-98430.573403578455</c:v>
                </c:pt>
              </c:numCache>
            </c:numRef>
          </c:xVal>
          <c:yVal>
            <c:numLit>
              <c:formatCode>General</c:formatCode>
              <c:ptCount val="2"/>
              <c:pt idx="0">
                <c:v>0</c:v>
              </c:pt>
              <c:pt idx="1">
                <c:v>0</c:v>
              </c:pt>
            </c:numLit>
          </c:yVal>
          <c:smooth val="0"/>
          <c:extLst>
            <c:ext xmlns:c16="http://schemas.microsoft.com/office/drawing/2014/chart" uri="{C3380CC4-5D6E-409C-BE32-E72D297353CC}">
              <c16:uniqueId val="{00000029-2F91-4582-977D-C509886DEE92}"/>
            </c:ext>
          </c:extLst>
        </c:ser>
        <c:ser>
          <c:idx val="58"/>
          <c:order val="49"/>
          <c:tx>
            <c:v>5_St</c:v>
          </c:tx>
          <c:spPr>
            <a:ln w="19050" cap="rnd">
              <a:solidFill>
                <a:schemeClr val="tx1"/>
              </a:solidFill>
              <a:round/>
            </a:ln>
            <a:effectLst/>
          </c:spPr>
          <c:marker>
            <c:symbol val="none"/>
          </c:marker>
          <c:xVal>
            <c:numRef>
              <c:f>('Background calcs'!$X$94,'Background calcs'!$X$97)</c:f>
              <c:numCache>
                <c:formatCode>General</c:formatCode>
                <c:ptCount val="2"/>
                <c:pt idx="0">
                  <c:v>-99136.493288377926</c:v>
                </c:pt>
                <c:pt idx="1">
                  <c:v>-99091.177899026094</c:v>
                </c:pt>
              </c:numCache>
            </c:numRef>
          </c:xVal>
          <c:yVal>
            <c:numRef>
              <c:f>('Background calcs'!$X$96,'Background calcs'!$X$99)</c:f>
              <c:numCache>
                <c:formatCode>General</c:formatCode>
                <c:ptCount val="2"/>
                <c:pt idx="0">
                  <c:v>-100000</c:v>
                </c:pt>
                <c:pt idx="1">
                  <c:v>-100000</c:v>
                </c:pt>
              </c:numCache>
            </c:numRef>
          </c:yVal>
          <c:smooth val="0"/>
          <c:extLst>
            <c:ext xmlns:c16="http://schemas.microsoft.com/office/drawing/2014/chart" uri="{C3380CC4-5D6E-409C-BE32-E72D297353CC}">
              <c16:uniqueId val="{0000001C-E085-4636-B723-1B11617F6DF8}"/>
            </c:ext>
          </c:extLst>
        </c:ser>
        <c:ser>
          <c:idx val="41"/>
          <c:order val="50"/>
          <c:tx>
            <c:v>5_C</c:v>
          </c:tx>
          <c:spPr>
            <a:ln w="38100" cap="rnd">
              <a:solidFill>
                <a:schemeClr val="tx1"/>
              </a:solidFill>
              <a:round/>
            </a:ln>
            <a:effectLst/>
          </c:spPr>
          <c:marker>
            <c:symbol val="none"/>
          </c:marker>
          <c:xVal>
            <c:numRef>
              <c:f>('Background calcs'!$X$130,'Background calcs'!$X$100,'Background calcs'!$X$100,'Background calcs'!$X$130)</c:f>
              <c:numCache>
                <c:formatCode>General</c:formatCode>
                <c:ptCount val="4"/>
                <c:pt idx="0">
                  <c:v>-99107.6691140974</c:v>
                </c:pt>
                <c:pt idx="1">
                  <c:v>-99091.177899026094</c:v>
                </c:pt>
                <c:pt idx="2">
                  <c:v>-99091.177899026094</c:v>
                </c:pt>
                <c:pt idx="3">
                  <c:v>-99107.6691140974</c:v>
                </c:pt>
              </c:numCache>
            </c:numRef>
          </c:xVal>
          <c:yVal>
            <c:numRef>
              <c:f>('Background calcs'!$X$132,'Background calcs'!$X$102,'Background calcs'!$X$103,'Background calcs'!$X$133)</c:f>
              <c:numCache>
                <c:formatCode>General</c:formatCode>
                <c:ptCount val="4"/>
                <c:pt idx="0">
                  <c:v>-99744.625209189922</c:v>
                </c:pt>
                <c:pt idx="1">
                  <c:v>-99848.746643325241</c:v>
                </c:pt>
                <c:pt idx="2">
                  <c:v>-100151.25335667476</c:v>
                </c:pt>
                <c:pt idx="3">
                  <c:v>-100255.37479081008</c:v>
                </c:pt>
              </c:numCache>
            </c:numRef>
          </c:yVal>
          <c:smooth val="0"/>
          <c:extLst>
            <c:ext xmlns:c16="http://schemas.microsoft.com/office/drawing/2014/chart" uri="{C3380CC4-5D6E-409C-BE32-E72D297353CC}">
              <c16:uniqueId val="{0000002A-2F91-4582-977D-C509886DEE92}"/>
            </c:ext>
          </c:extLst>
        </c:ser>
        <c:ser>
          <c:idx val="42"/>
          <c:order val="51"/>
          <c:tx>
            <c:v>5_LG</c:v>
          </c:tx>
          <c:spPr>
            <a:ln w="63500" cap="rnd">
              <a:solidFill>
                <a:schemeClr val="tx1"/>
              </a:solidFill>
              <a:round/>
            </a:ln>
            <a:effectLst/>
          </c:spPr>
          <c:marker>
            <c:symbol val="none"/>
          </c:marker>
          <c:xVal>
            <c:numRef>
              <c:f>('Background calcs'!$X$130,'Background calcs'!$X$124)</c:f>
              <c:numCache>
                <c:formatCode>General</c:formatCode>
                <c:ptCount val="2"/>
                <c:pt idx="0">
                  <c:v>-99107.6691140974</c:v>
                </c:pt>
                <c:pt idx="1">
                  <c:v>-99128.51649918755</c:v>
                </c:pt>
              </c:numCache>
            </c:numRef>
          </c:xVal>
          <c:yVal>
            <c:numRef>
              <c:f>('Background calcs'!$X$132,'Background calcs'!$X$126)</c:f>
              <c:numCache>
                <c:formatCode>General</c:formatCode>
                <c:ptCount val="2"/>
                <c:pt idx="0">
                  <c:v>-99744.625209189922</c:v>
                </c:pt>
                <c:pt idx="1">
                  <c:v>-99613</c:v>
                </c:pt>
              </c:numCache>
            </c:numRef>
          </c:yVal>
          <c:smooth val="0"/>
          <c:extLst>
            <c:ext xmlns:c16="http://schemas.microsoft.com/office/drawing/2014/chart" uri="{C3380CC4-5D6E-409C-BE32-E72D297353CC}">
              <c16:uniqueId val="{0000002B-2F91-4582-977D-C509886DEE92}"/>
            </c:ext>
          </c:extLst>
        </c:ser>
        <c:ser>
          <c:idx val="43"/>
          <c:order val="52"/>
          <c:tx>
            <c:v>5_RG</c:v>
          </c:tx>
          <c:spPr>
            <a:ln w="63500" cap="rnd">
              <a:solidFill>
                <a:schemeClr val="tx1"/>
              </a:solidFill>
              <a:round/>
            </a:ln>
            <a:effectLst/>
          </c:spPr>
          <c:marker>
            <c:symbol val="none"/>
          </c:marker>
          <c:dPt>
            <c:idx val="0"/>
            <c:marker>
              <c:symbol val="none"/>
            </c:marker>
            <c:bubble3D val="0"/>
            <c:spPr>
              <a:ln w="63500" cap="rnd">
                <a:solidFill>
                  <a:schemeClr val="tx1"/>
                </a:solidFill>
                <a:round/>
              </a:ln>
              <a:effectLst/>
            </c:spPr>
            <c:extLst>
              <c:ext xmlns:c16="http://schemas.microsoft.com/office/drawing/2014/chart" uri="{C3380CC4-5D6E-409C-BE32-E72D297353CC}">
                <c16:uniqueId val="{00000016-7FF5-4957-9E67-C7697E598EC9}"/>
              </c:ext>
            </c:extLst>
          </c:dPt>
          <c:dPt>
            <c:idx val="1"/>
            <c:marker>
              <c:symbol val="none"/>
            </c:marker>
            <c:bubble3D val="0"/>
            <c:spPr>
              <a:ln w="63500" cap="rnd">
                <a:solidFill>
                  <a:schemeClr val="tx1"/>
                </a:solidFill>
                <a:round/>
              </a:ln>
              <a:effectLst/>
            </c:spPr>
            <c:extLst>
              <c:ext xmlns:c16="http://schemas.microsoft.com/office/drawing/2014/chart" uri="{C3380CC4-5D6E-409C-BE32-E72D297353CC}">
                <c16:uniqueId val="{00000018-7FF5-4957-9E67-C7697E598EC9}"/>
              </c:ext>
            </c:extLst>
          </c:dPt>
          <c:xVal>
            <c:numRef>
              <c:f>('Background calcs'!$X$130,'Background calcs'!$X$124)</c:f>
              <c:numCache>
                <c:formatCode>General</c:formatCode>
                <c:ptCount val="2"/>
                <c:pt idx="0">
                  <c:v>-99107.6691140974</c:v>
                </c:pt>
                <c:pt idx="1">
                  <c:v>-99128.51649918755</c:v>
                </c:pt>
              </c:numCache>
            </c:numRef>
          </c:xVal>
          <c:yVal>
            <c:numRef>
              <c:f>('Background calcs'!$X$133,'Background calcs'!$X$127)</c:f>
              <c:numCache>
                <c:formatCode>General</c:formatCode>
                <c:ptCount val="2"/>
                <c:pt idx="0">
                  <c:v>-100255.37479081008</c:v>
                </c:pt>
                <c:pt idx="1">
                  <c:v>-100387</c:v>
                </c:pt>
              </c:numCache>
            </c:numRef>
          </c:yVal>
          <c:smooth val="0"/>
          <c:extLst>
            <c:ext xmlns:c16="http://schemas.microsoft.com/office/drawing/2014/chart" uri="{C3380CC4-5D6E-409C-BE32-E72D297353CC}">
              <c16:uniqueId val="{0000002C-2F91-4582-977D-C509886DEE92}"/>
            </c:ext>
          </c:extLst>
        </c:ser>
        <c:ser>
          <c:idx val="44"/>
          <c:order val="53"/>
          <c:tx>
            <c:v>5_S</c:v>
          </c:tx>
          <c:spPr>
            <a:ln w="19050" cap="rnd">
              <a:solidFill>
                <a:schemeClr val="tx1"/>
              </a:solidFill>
              <a:round/>
            </a:ln>
            <a:effectLst/>
          </c:spPr>
          <c:marker>
            <c:symbol val="x"/>
            <c:size val="11"/>
            <c:spPr>
              <a:noFill/>
              <a:ln w="9525">
                <a:solidFill>
                  <a:schemeClr val="tx1"/>
                </a:solidFill>
              </a:ln>
              <a:effectLst/>
            </c:spPr>
          </c:marker>
          <c:xVal>
            <c:numRef>
              <c:f>'Background calcs'!$X$114</c:f>
              <c:numCache>
                <c:formatCode>General</c:formatCode>
                <c:ptCount val="1"/>
                <c:pt idx="0">
                  <c:v>-99728.018560521799</c:v>
                </c:pt>
              </c:numCache>
            </c:numRef>
          </c:xVal>
          <c:yVal>
            <c:numLit>
              <c:formatCode>General</c:formatCode>
              <c:ptCount val="1"/>
              <c:pt idx="0">
                <c:v>0</c:v>
              </c:pt>
            </c:numLit>
          </c:yVal>
          <c:smooth val="0"/>
          <c:extLst>
            <c:ext xmlns:c16="http://schemas.microsoft.com/office/drawing/2014/chart" uri="{C3380CC4-5D6E-409C-BE32-E72D297353CC}">
              <c16:uniqueId val="{0000002D-2F91-4582-977D-C509886DEE92}"/>
            </c:ext>
          </c:extLst>
        </c:ser>
        <c:ser>
          <c:idx val="45"/>
          <c:order val="54"/>
          <c:tx>
            <c:v>5m_T</c:v>
          </c:tx>
          <c:spPr>
            <a:ln w="19050" cap="rnd">
              <a:solidFill>
                <a:srgbClr val="808080">
                  <a:alpha val="50000"/>
                </a:srgbClr>
              </a:solidFill>
              <a:round/>
            </a:ln>
            <a:effectLst/>
          </c:spPr>
          <c:marker>
            <c:symbol val="none"/>
          </c:marker>
          <c:xVal>
            <c:numRef>
              <c:f>('Background calcs'!$Z$191,'Background calcs'!$Z$304)</c:f>
              <c:numCache>
                <c:formatCode>General</c:formatCode>
                <c:ptCount val="2"/>
                <c:pt idx="0">
                  <c:v>-100382.5</c:v>
                </c:pt>
                <c:pt idx="1">
                  <c:v>-98413.558572830341</c:v>
                </c:pt>
              </c:numCache>
            </c:numRef>
          </c:xVal>
          <c:yVal>
            <c:numLit>
              <c:formatCode>General</c:formatCode>
              <c:ptCount val="2"/>
              <c:pt idx="0">
                <c:v>0</c:v>
              </c:pt>
              <c:pt idx="1">
                <c:v>0</c:v>
              </c:pt>
            </c:numLit>
          </c:yVal>
          <c:smooth val="0"/>
          <c:extLst>
            <c:ext xmlns:c16="http://schemas.microsoft.com/office/drawing/2014/chart" uri="{C3380CC4-5D6E-409C-BE32-E72D297353CC}">
              <c16:uniqueId val="{0000002E-2F91-4582-977D-C509886DEE92}"/>
            </c:ext>
          </c:extLst>
        </c:ser>
        <c:ser>
          <c:idx val="59"/>
          <c:order val="55"/>
          <c:tx>
            <c:v>5m_St</c:v>
          </c:tx>
          <c:spPr>
            <a:ln w="38100" cap="rnd">
              <a:solidFill>
                <a:srgbClr val="808080">
                  <a:alpha val="50000"/>
                </a:srgbClr>
              </a:solidFill>
              <a:round/>
            </a:ln>
            <a:effectLst/>
          </c:spPr>
          <c:marker>
            <c:symbol val="none"/>
          </c:marker>
          <c:xVal>
            <c:numRef>
              <c:f>('Background calcs'!$Z$94,'Background calcs'!$Z$97)</c:f>
              <c:numCache>
                <c:formatCode>General</c:formatCode>
                <c:ptCount val="2"/>
                <c:pt idx="0">
                  <c:v>-99137.532972765606</c:v>
                </c:pt>
                <c:pt idx="1">
                  <c:v>-99092.811573558545</c:v>
                </c:pt>
              </c:numCache>
            </c:numRef>
          </c:xVal>
          <c:yVal>
            <c:numRef>
              <c:f>('Background calcs'!$Z$96,'Background calcs'!$Z$99)</c:f>
              <c:numCache>
                <c:formatCode>General</c:formatCode>
                <c:ptCount val="2"/>
                <c:pt idx="0">
                  <c:v>-100000</c:v>
                </c:pt>
                <c:pt idx="1">
                  <c:v>-100000</c:v>
                </c:pt>
              </c:numCache>
            </c:numRef>
          </c:yVal>
          <c:smooth val="0"/>
          <c:extLst>
            <c:ext xmlns:c16="http://schemas.microsoft.com/office/drawing/2014/chart" uri="{C3380CC4-5D6E-409C-BE32-E72D297353CC}">
              <c16:uniqueId val="{0000001D-E085-4636-B723-1B11617F6DF8}"/>
            </c:ext>
          </c:extLst>
        </c:ser>
        <c:ser>
          <c:idx val="46"/>
          <c:order val="56"/>
          <c:tx>
            <c:v>5m_C</c:v>
          </c:tx>
          <c:spPr>
            <a:ln w="38100" cap="rnd">
              <a:solidFill>
                <a:srgbClr val="808080">
                  <a:alpha val="50000"/>
                </a:srgbClr>
              </a:solidFill>
              <a:round/>
            </a:ln>
            <a:effectLst/>
          </c:spPr>
          <c:marker>
            <c:symbol val="none"/>
          </c:marker>
          <c:xVal>
            <c:numRef>
              <c:f>('Background calcs'!$Z$130,'Background calcs'!$Z$100,'Background calcs'!$Z$100,'Background calcs'!$Z$130)</c:f>
              <c:numCache>
                <c:formatCode>General</c:formatCode>
                <c:ptCount val="4"/>
                <c:pt idx="0">
                  <c:v>-99109.302788629851</c:v>
                </c:pt>
                <c:pt idx="1">
                  <c:v>-99092.811573558545</c:v>
                </c:pt>
                <c:pt idx="2">
                  <c:v>-99092.811573558545</c:v>
                </c:pt>
                <c:pt idx="3">
                  <c:v>-99109.302788629851</c:v>
                </c:pt>
              </c:numCache>
            </c:numRef>
          </c:xVal>
          <c:yVal>
            <c:numRef>
              <c:f>('Background calcs'!$Z$132,'Background calcs'!$Z$102,'Background calcs'!$Z$103,'Background calcs'!$Z$133)</c:f>
              <c:numCache>
                <c:formatCode>General</c:formatCode>
                <c:ptCount val="4"/>
                <c:pt idx="0">
                  <c:v>-99744.625209189922</c:v>
                </c:pt>
                <c:pt idx="1">
                  <c:v>-99848.746643325241</c:v>
                </c:pt>
                <c:pt idx="2">
                  <c:v>-100151.25335667476</c:v>
                </c:pt>
                <c:pt idx="3">
                  <c:v>-100255.37479081008</c:v>
                </c:pt>
              </c:numCache>
            </c:numRef>
          </c:yVal>
          <c:smooth val="0"/>
          <c:extLst>
            <c:ext xmlns:c16="http://schemas.microsoft.com/office/drawing/2014/chart" uri="{C3380CC4-5D6E-409C-BE32-E72D297353CC}">
              <c16:uniqueId val="{0000002F-2F91-4582-977D-C509886DEE92}"/>
            </c:ext>
          </c:extLst>
        </c:ser>
        <c:ser>
          <c:idx val="47"/>
          <c:order val="57"/>
          <c:tx>
            <c:v>5m_LG</c:v>
          </c:tx>
          <c:spPr>
            <a:ln w="63500" cap="rnd">
              <a:solidFill>
                <a:srgbClr val="808080">
                  <a:alpha val="50000"/>
                </a:srgbClr>
              </a:solidFill>
              <a:round/>
            </a:ln>
            <a:effectLst/>
          </c:spPr>
          <c:marker>
            <c:symbol val="none"/>
          </c:marker>
          <c:xVal>
            <c:numRef>
              <c:f>('Background calcs'!$Z$130,'Background calcs'!$Z$124)</c:f>
              <c:numCache>
                <c:formatCode>General</c:formatCode>
                <c:ptCount val="2"/>
                <c:pt idx="0">
                  <c:v>-99109.302788629851</c:v>
                </c:pt>
                <c:pt idx="1">
                  <c:v>-99130.150173720001</c:v>
                </c:pt>
              </c:numCache>
            </c:numRef>
          </c:xVal>
          <c:yVal>
            <c:numRef>
              <c:f>('Background calcs'!$Z$132,'Background calcs'!$Z$126)</c:f>
              <c:numCache>
                <c:formatCode>General</c:formatCode>
                <c:ptCount val="2"/>
                <c:pt idx="0">
                  <c:v>-99744.625209189922</c:v>
                </c:pt>
                <c:pt idx="1">
                  <c:v>-99613</c:v>
                </c:pt>
              </c:numCache>
            </c:numRef>
          </c:yVal>
          <c:smooth val="0"/>
          <c:extLst>
            <c:ext xmlns:c16="http://schemas.microsoft.com/office/drawing/2014/chart" uri="{C3380CC4-5D6E-409C-BE32-E72D297353CC}">
              <c16:uniqueId val="{00000030-2F91-4582-977D-C509886DEE92}"/>
            </c:ext>
          </c:extLst>
        </c:ser>
        <c:ser>
          <c:idx val="48"/>
          <c:order val="58"/>
          <c:tx>
            <c:v>5m_RG</c:v>
          </c:tx>
          <c:spPr>
            <a:ln w="63500" cap="rnd">
              <a:solidFill>
                <a:srgbClr val="808080">
                  <a:alpha val="50000"/>
                </a:srgbClr>
              </a:solidFill>
              <a:round/>
            </a:ln>
            <a:effectLst/>
          </c:spPr>
          <c:marker>
            <c:symbol val="none"/>
          </c:marker>
          <c:dPt>
            <c:idx val="1"/>
            <c:marker>
              <c:symbol val="none"/>
            </c:marker>
            <c:bubble3D val="0"/>
            <c:spPr>
              <a:ln w="63500" cap="rnd">
                <a:solidFill>
                  <a:srgbClr val="808080">
                    <a:alpha val="50000"/>
                  </a:srgbClr>
                </a:solidFill>
                <a:round/>
              </a:ln>
              <a:effectLst/>
            </c:spPr>
            <c:extLst>
              <c:ext xmlns:c16="http://schemas.microsoft.com/office/drawing/2014/chart" uri="{C3380CC4-5D6E-409C-BE32-E72D297353CC}">
                <c16:uniqueId val="{0000001A-7FF5-4957-9E67-C7697E598EC9}"/>
              </c:ext>
            </c:extLst>
          </c:dPt>
          <c:xVal>
            <c:numRef>
              <c:f>('Background calcs'!$Z$130,'Background calcs'!$Z$124)</c:f>
              <c:numCache>
                <c:formatCode>General</c:formatCode>
                <c:ptCount val="2"/>
                <c:pt idx="0">
                  <c:v>-99109.302788629851</c:v>
                </c:pt>
                <c:pt idx="1">
                  <c:v>-99130.150173720001</c:v>
                </c:pt>
              </c:numCache>
            </c:numRef>
          </c:xVal>
          <c:yVal>
            <c:numRef>
              <c:f>('Background calcs'!$Z$133,'Background calcs'!$Z$127)</c:f>
              <c:numCache>
                <c:formatCode>General</c:formatCode>
                <c:ptCount val="2"/>
                <c:pt idx="0">
                  <c:v>-100255.37479081008</c:v>
                </c:pt>
                <c:pt idx="1">
                  <c:v>-100387</c:v>
                </c:pt>
              </c:numCache>
            </c:numRef>
          </c:yVal>
          <c:smooth val="0"/>
          <c:extLst>
            <c:ext xmlns:c16="http://schemas.microsoft.com/office/drawing/2014/chart" uri="{C3380CC4-5D6E-409C-BE32-E72D297353CC}">
              <c16:uniqueId val="{00000031-2F91-4582-977D-C509886DEE92}"/>
            </c:ext>
          </c:extLst>
        </c:ser>
        <c:ser>
          <c:idx val="49"/>
          <c:order val="59"/>
          <c:tx>
            <c:v>5m_S</c:v>
          </c:tx>
          <c:spPr>
            <a:ln w="19050" cap="rnd">
              <a:solidFill>
                <a:srgbClr val="808080">
                  <a:alpha val="50000"/>
                </a:srgbClr>
              </a:solidFill>
              <a:round/>
            </a:ln>
            <a:effectLst/>
          </c:spPr>
          <c:marker>
            <c:symbol val="x"/>
            <c:size val="11"/>
            <c:spPr>
              <a:noFill/>
              <a:ln w="19050">
                <a:solidFill>
                  <a:srgbClr val="808080">
                    <a:alpha val="50000"/>
                  </a:srgbClr>
                </a:solidFill>
              </a:ln>
              <a:effectLst/>
            </c:spPr>
          </c:marker>
          <c:xVal>
            <c:numRef>
              <c:f>'Background calcs'!$Z$114</c:f>
              <c:numCache>
                <c:formatCode>General</c:formatCode>
                <c:ptCount val="1"/>
                <c:pt idx="0">
                  <c:v>-99722.660128020216</c:v>
                </c:pt>
              </c:numCache>
            </c:numRef>
          </c:xVal>
          <c:yVal>
            <c:numLit>
              <c:formatCode>General</c:formatCode>
              <c:ptCount val="1"/>
              <c:pt idx="0">
                <c:v>0</c:v>
              </c:pt>
            </c:numLit>
          </c:yVal>
          <c:smooth val="0"/>
          <c:extLst>
            <c:ext xmlns:c16="http://schemas.microsoft.com/office/drawing/2014/chart" uri="{C3380CC4-5D6E-409C-BE32-E72D297353CC}">
              <c16:uniqueId val="{00000032-2F91-4582-977D-C509886DEE92}"/>
            </c:ext>
          </c:extLst>
        </c:ser>
        <c:dLbls>
          <c:showLegendKey val="0"/>
          <c:showVal val="0"/>
          <c:showCatName val="0"/>
          <c:showSerName val="0"/>
          <c:showPercent val="0"/>
          <c:showBubbleSize val="0"/>
        </c:dLbls>
        <c:axId val="1935498815"/>
        <c:axId val="1935496895"/>
      </c:scatterChart>
      <c:valAx>
        <c:axId val="1935498815"/>
        <c:scaling>
          <c:orientation val="minMax"/>
          <c:max val="3500"/>
          <c:min val="-500"/>
        </c:scaling>
        <c:delete val="1"/>
        <c:axPos val="b"/>
        <c:numFmt formatCode="General" sourceLinked="1"/>
        <c:majorTickMark val="out"/>
        <c:minorTickMark val="in"/>
        <c:tickLblPos val="nextTo"/>
        <c:crossAx val="1935496895"/>
        <c:crosses val="autoZero"/>
        <c:crossBetween val="midCat"/>
      </c:valAx>
      <c:valAx>
        <c:axId val="1935496895"/>
        <c:scaling>
          <c:orientation val="minMax"/>
          <c:max val="1250"/>
          <c:min val="-1250"/>
        </c:scaling>
        <c:delete val="1"/>
        <c:axPos val="l"/>
        <c:numFmt formatCode="General" sourceLinked="1"/>
        <c:majorTickMark val="out"/>
        <c:minorTickMark val="none"/>
        <c:tickLblPos val="nextTo"/>
        <c:crossAx val="1935498815"/>
        <c:crosses val="autoZero"/>
        <c:crossBetween val="midCat"/>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108964</xdr:colOff>
      <xdr:row>61</xdr:row>
      <xdr:rowOff>57696</xdr:rowOff>
    </xdr:from>
    <xdr:to>
      <xdr:col>7</xdr:col>
      <xdr:colOff>2506271</xdr:colOff>
      <xdr:row>109</xdr:row>
      <xdr:rowOff>77736</xdr:rowOff>
    </xdr:to>
    <xdr:graphicFrame macro="">
      <xdr:nvGraphicFramePr>
        <xdr:cNvPr id="3" name="Chart 1">
          <a:extLst>
            <a:ext uri="{FF2B5EF4-FFF2-40B4-BE49-F238E27FC236}">
              <a16:creationId xmlns:a16="http://schemas.microsoft.com/office/drawing/2014/main" id="{7BDE1199-1FA7-4EA3-BBAF-A2C5423C29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68</xdr:row>
      <xdr:rowOff>171214</xdr:rowOff>
    </xdr:from>
    <xdr:to>
      <xdr:col>7</xdr:col>
      <xdr:colOff>2404603</xdr:colOff>
      <xdr:row>99</xdr:row>
      <xdr:rowOff>105275</xdr:rowOff>
    </xdr:to>
    <xdr:graphicFrame macro="">
      <xdr:nvGraphicFramePr>
        <xdr:cNvPr id="8" name="Chart 1">
          <a:extLst>
            <a:ext uri="{FF2B5EF4-FFF2-40B4-BE49-F238E27FC236}">
              <a16:creationId xmlns:a16="http://schemas.microsoft.com/office/drawing/2014/main" id="{A4FDCA07-D886-B086-218C-711BB0AE008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577574</xdr:colOff>
      <xdr:row>38</xdr:row>
      <xdr:rowOff>47625</xdr:rowOff>
    </xdr:to>
    <xdr:pic>
      <xdr:nvPicPr>
        <xdr:cNvPr id="2" name="Picture 1">
          <a:extLst>
            <a:ext uri="{FF2B5EF4-FFF2-40B4-BE49-F238E27FC236}">
              <a16:creationId xmlns:a16="http://schemas.microsoft.com/office/drawing/2014/main" id="{1FDD88C6-48E5-4F33-95C0-D8B0E9E455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8397488" cy="72866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madscientistmtb.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adam@madscientistmtb.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5BCF0-9034-4F44-BF56-29E856C7C512}">
  <dimension ref="A1:B12"/>
  <sheetViews>
    <sheetView tabSelected="1" topLeftCell="A5" workbookViewId="0">
      <selection activeCell="B7" sqref="B7"/>
    </sheetView>
  </sheetViews>
  <sheetFormatPr defaultRowHeight="15" x14ac:dyDescent="0.25"/>
  <cols>
    <col min="1" max="1" width="4.85546875" style="96" customWidth="1"/>
    <col min="2" max="2" width="126.5703125" style="96" customWidth="1"/>
    <col min="3" max="16384" width="9.140625" style="96"/>
  </cols>
  <sheetData>
    <row r="1" spans="1:2" x14ac:dyDescent="0.25">
      <c r="A1" s="137" t="s">
        <v>350</v>
      </c>
      <c r="B1" s="137"/>
    </row>
    <row r="2" spans="1:2" ht="75" x14ac:dyDescent="0.25">
      <c r="A2" s="135"/>
      <c r="B2" s="133" t="s">
        <v>508</v>
      </c>
    </row>
    <row r="3" spans="1:2" ht="30" x14ac:dyDescent="0.25">
      <c r="A3" s="135"/>
      <c r="B3" s="136" t="s">
        <v>497</v>
      </c>
    </row>
    <row r="4" spans="1:2" x14ac:dyDescent="0.25">
      <c r="B4" s="134" t="s">
        <v>498</v>
      </c>
    </row>
    <row r="5" spans="1:2" x14ac:dyDescent="0.25">
      <c r="A5" s="97"/>
    </row>
    <row r="6" spans="1:2" x14ac:dyDescent="0.25">
      <c r="A6" s="332" t="s">
        <v>351</v>
      </c>
      <c r="B6" s="332"/>
    </row>
    <row r="7" spans="1:2" ht="315" x14ac:dyDescent="0.25">
      <c r="A7" s="147">
        <v>1</v>
      </c>
      <c r="B7" s="132" t="s">
        <v>499</v>
      </c>
    </row>
    <row r="8" spans="1:2" ht="45" x14ac:dyDescent="0.25">
      <c r="A8" s="147">
        <v>2</v>
      </c>
      <c r="B8" s="132" t="s">
        <v>500</v>
      </c>
    </row>
    <row r="9" spans="1:2" ht="30" x14ac:dyDescent="0.25">
      <c r="A9" s="147">
        <v>3</v>
      </c>
      <c r="B9" s="133" t="s">
        <v>408</v>
      </c>
    </row>
    <row r="10" spans="1:2" ht="30" x14ac:dyDescent="0.25">
      <c r="A10" s="147">
        <v>4</v>
      </c>
      <c r="B10" s="133" t="s">
        <v>502</v>
      </c>
    </row>
    <row r="11" spans="1:2" x14ac:dyDescent="0.25">
      <c r="A11" s="147">
        <v>5</v>
      </c>
      <c r="B11" s="133" t="s">
        <v>501</v>
      </c>
    </row>
    <row r="12" spans="1:2" ht="30" x14ac:dyDescent="0.25">
      <c r="A12" s="147">
        <v>6</v>
      </c>
      <c r="B12" s="132" t="s">
        <v>475</v>
      </c>
    </row>
  </sheetData>
  <mergeCells count="1">
    <mergeCell ref="A6:B6"/>
  </mergeCells>
  <hyperlinks>
    <hyperlink ref="B3" r:id="rId1" display="This calculator is updated when necessary. Check madscientistmtb.com for the latest version" xr:uid="{2F0CA40F-41FE-4E65-A0BF-45A09CF8DD3B}"/>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1DB18-C3DE-4C11-AF19-E5F88293C122}">
  <sheetPr>
    <tabColor rgb="FF92D050"/>
  </sheetPr>
  <dimension ref="B1:AA61"/>
  <sheetViews>
    <sheetView showGridLines="0" topLeftCell="A19" zoomScale="115" zoomScaleNormal="115" workbookViewId="0">
      <pane xSplit="6" topLeftCell="G1" activePane="topRight" state="frozen"/>
      <selection pane="topRight" activeCell="H13" sqref="H13"/>
    </sheetView>
  </sheetViews>
  <sheetFormatPr defaultColWidth="33.42578125" defaultRowHeight="15" x14ac:dyDescent="0.25"/>
  <cols>
    <col min="1" max="1" width="0.42578125" customWidth="1"/>
    <col min="2" max="3" width="15.42578125" customWidth="1"/>
    <col min="4" max="4" width="43.5703125" customWidth="1"/>
    <col min="5" max="5" width="17.7109375" customWidth="1"/>
    <col min="6" max="6" width="2.7109375" customWidth="1"/>
    <col min="7" max="7" width="6.42578125" style="103" customWidth="1"/>
    <col min="8" max="8" width="45.5703125" customWidth="1"/>
    <col min="9" max="9" width="9" hidden="1" customWidth="1"/>
    <col min="10" max="10" width="33.5703125" bestFit="1" customWidth="1"/>
    <col min="11" max="11" width="11.85546875" customWidth="1"/>
    <col min="12" max="12" width="45.5703125" customWidth="1"/>
    <col min="13" max="13" width="12.42578125" hidden="1" customWidth="1"/>
    <col min="14" max="14" width="33.5703125" customWidth="1"/>
    <col min="15" max="15" width="11.85546875" customWidth="1"/>
    <col min="16" max="16" width="45.42578125" customWidth="1"/>
    <col min="17" max="17" width="11.140625" hidden="1" customWidth="1"/>
    <col min="18" max="18" width="33.5703125" customWidth="1"/>
    <col min="19" max="19" width="11.85546875" customWidth="1"/>
    <col min="20" max="20" width="45.42578125" customWidth="1"/>
    <col min="21" max="21" width="9.5703125" hidden="1" customWidth="1"/>
    <col min="22" max="22" width="33.5703125" customWidth="1"/>
    <col min="23" max="23" width="12" customWidth="1"/>
    <col min="24" max="24" width="44.7109375" customWidth="1"/>
    <col min="25" max="25" width="16.42578125" hidden="1" customWidth="1"/>
    <col min="26" max="26" width="33.5703125" customWidth="1"/>
    <col min="27" max="27" width="11.85546875" customWidth="1"/>
  </cols>
  <sheetData>
    <row r="1" spans="2:27" ht="2.25" customHeight="1" thickBot="1" x14ac:dyDescent="0.3"/>
    <row r="2" spans="2:27" ht="34.5" customHeight="1" thickBot="1" x14ac:dyDescent="0.3">
      <c r="D2" s="196" t="s">
        <v>504</v>
      </c>
      <c r="E2" s="197"/>
      <c r="F2" s="198"/>
      <c r="G2" s="163"/>
    </row>
    <row r="3" spans="2:27" ht="45.75" customHeight="1" thickTop="1" x14ac:dyDescent="0.25">
      <c r="D3" s="317" t="s">
        <v>92</v>
      </c>
      <c r="E3" s="318"/>
      <c r="F3" s="319"/>
      <c r="G3" s="130" t="s">
        <v>367</v>
      </c>
      <c r="H3" s="238" t="s">
        <v>296</v>
      </c>
      <c r="I3" s="40"/>
      <c r="J3" s="236" t="s">
        <v>298</v>
      </c>
      <c r="K3" s="237"/>
      <c r="L3" s="250" t="s">
        <v>297</v>
      </c>
      <c r="M3" s="47"/>
      <c r="N3" s="248" t="s">
        <v>300</v>
      </c>
      <c r="O3" s="249"/>
      <c r="P3" s="274" t="s">
        <v>299</v>
      </c>
      <c r="Q3" s="55"/>
      <c r="R3" s="272" t="s">
        <v>301</v>
      </c>
      <c r="S3" s="273"/>
      <c r="T3" s="278" t="s">
        <v>302</v>
      </c>
      <c r="U3" s="63"/>
      <c r="V3" s="276" t="s">
        <v>323</v>
      </c>
      <c r="W3" s="277"/>
      <c r="X3" s="230" t="s">
        <v>324</v>
      </c>
      <c r="Y3" s="71"/>
      <c r="Z3" s="232" t="s">
        <v>325</v>
      </c>
      <c r="AA3" s="233"/>
    </row>
    <row r="4" spans="2:27" x14ac:dyDescent="0.25">
      <c r="C4" s="85"/>
      <c r="D4" s="320"/>
      <c r="E4" s="321"/>
      <c r="F4" s="322"/>
      <c r="G4" s="105"/>
      <c r="H4" s="239"/>
      <c r="I4" s="41"/>
      <c r="J4" s="18" t="s">
        <v>292</v>
      </c>
      <c r="K4" s="13">
        <v>20</v>
      </c>
      <c r="L4" s="251"/>
      <c r="M4" s="48"/>
      <c r="N4" s="23" t="s">
        <v>292</v>
      </c>
      <c r="O4" s="9">
        <v>0</v>
      </c>
      <c r="P4" s="275"/>
      <c r="Q4" s="56"/>
      <c r="R4" s="28" t="s">
        <v>292</v>
      </c>
      <c r="S4" s="8">
        <v>20</v>
      </c>
      <c r="T4" s="279"/>
      <c r="U4" s="64"/>
      <c r="V4" s="33" t="s">
        <v>292</v>
      </c>
      <c r="W4" s="10">
        <v>0</v>
      </c>
      <c r="X4" s="231"/>
      <c r="Y4" s="72"/>
      <c r="Z4" s="12" t="s">
        <v>292</v>
      </c>
      <c r="AA4" s="11">
        <v>0</v>
      </c>
    </row>
    <row r="5" spans="2:27" x14ac:dyDescent="0.25">
      <c r="B5" t="s">
        <v>345</v>
      </c>
      <c r="D5" s="36" t="s">
        <v>96</v>
      </c>
      <c r="E5" s="35" t="s">
        <v>94</v>
      </c>
      <c r="F5" s="95"/>
      <c r="G5" s="106" t="s">
        <v>368</v>
      </c>
      <c r="H5" s="239"/>
      <c r="I5" s="41"/>
      <c r="J5" s="18" t="s">
        <v>85</v>
      </c>
      <c r="K5" s="13">
        <v>-2</v>
      </c>
      <c r="L5" s="251"/>
      <c r="M5" s="48"/>
      <c r="N5" s="23" t="s">
        <v>85</v>
      </c>
      <c r="O5" s="9">
        <v>0</v>
      </c>
      <c r="P5" s="275"/>
      <c r="Q5" s="56"/>
      <c r="R5" s="28" t="s">
        <v>85</v>
      </c>
      <c r="S5" s="8">
        <v>-1.5</v>
      </c>
      <c r="T5" s="279"/>
      <c r="U5" s="64"/>
      <c r="V5" s="33" t="s">
        <v>85</v>
      </c>
      <c r="W5" s="10">
        <v>-2</v>
      </c>
      <c r="X5" s="231"/>
      <c r="Y5" s="72"/>
      <c r="Z5" s="12" t="s">
        <v>85</v>
      </c>
      <c r="AA5" s="11">
        <v>-2</v>
      </c>
    </row>
    <row r="6" spans="2:27" x14ac:dyDescent="0.25">
      <c r="B6" t="s">
        <v>503</v>
      </c>
      <c r="C6" s="85"/>
      <c r="D6" s="37" t="s">
        <v>369</v>
      </c>
      <c r="E6" s="323">
        <v>2.4</v>
      </c>
      <c r="F6" s="324"/>
      <c r="G6" s="107" t="s">
        <v>358</v>
      </c>
      <c r="H6" s="239"/>
      <c r="I6" s="41"/>
      <c r="J6" s="18" t="s">
        <v>84</v>
      </c>
      <c r="K6" s="13">
        <v>0</v>
      </c>
      <c r="L6" s="251"/>
      <c r="M6" s="48"/>
      <c r="N6" s="23" t="s">
        <v>84</v>
      </c>
      <c r="O6" s="9">
        <v>0</v>
      </c>
      <c r="P6" s="275"/>
      <c r="Q6" s="56"/>
      <c r="R6" s="28" t="s">
        <v>84</v>
      </c>
      <c r="S6" s="8">
        <v>0</v>
      </c>
      <c r="T6" s="279"/>
      <c r="U6" s="64"/>
      <c r="V6" s="33" t="s">
        <v>84</v>
      </c>
      <c r="W6" s="10">
        <v>0</v>
      </c>
      <c r="X6" s="231"/>
      <c r="Y6" s="72"/>
      <c r="Z6" s="12" t="s">
        <v>84</v>
      </c>
      <c r="AA6" s="11">
        <v>0</v>
      </c>
    </row>
    <row r="7" spans="2:27" x14ac:dyDescent="0.25">
      <c r="B7" s="194" t="s">
        <v>327</v>
      </c>
      <c r="C7" s="195"/>
      <c r="D7" s="37" t="s">
        <v>370</v>
      </c>
      <c r="E7" s="325">
        <f>VLOOKUP(E5,'Background calcs'!G466:H470,2,FALSE)</f>
        <v>622</v>
      </c>
      <c r="F7" s="326"/>
      <c r="G7" s="106" t="s">
        <v>358</v>
      </c>
      <c r="H7" s="239"/>
      <c r="I7" s="41"/>
      <c r="J7" s="18" t="s">
        <v>86</v>
      </c>
      <c r="K7" s="13">
        <v>0</v>
      </c>
      <c r="L7" s="251"/>
      <c r="M7" s="48"/>
      <c r="N7" s="23" t="s">
        <v>86</v>
      </c>
      <c r="O7" s="9">
        <v>0</v>
      </c>
      <c r="P7" s="275"/>
      <c r="Q7" s="56"/>
      <c r="R7" s="28" t="s">
        <v>86</v>
      </c>
      <c r="S7" s="8">
        <v>0</v>
      </c>
      <c r="T7" s="279"/>
      <c r="U7" s="64"/>
      <c r="V7" s="33" t="s">
        <v>86</v>
      </c>
      <c r="W7" s="10">
        <v>0</v>
      </c>
      <c r="X7" s="231"/>
      <c r="Y7" s="72"/>
      <c r="Z7" s="12" t="s">
        <v>86</v>
      </c>
      <c r="AA7" s="11">
        <v>0</v>
      </c>
    </row>
    <row r="8" spans="2:27" ht="15.75" thickBot="1" x14ac:dyDescent="0.3">
      <c r="B8" t="s">
        <v>295</v>
      </c>
      <c r="C8" s="166">
        <v>46217</v>
      </c>
      <c r="D8" s="94" t="s">
        <v>371</v>
      </c>
      <c r="E8" s="327">
        <f>E7+2*E6*25.4</f>
        <v>743.92</v>
      </c>
      <c r="F8" s="328"/>
      <c r="G8" s="108" t="s">
        <v>358</v>
      </c>
      <c r="H8" s="239"/>
      <c r="I8" s="41"/>
      <c r="J8" s="18" t="s">
        <v>87</v>
      </c>
      <c r="K8" s="13">
        <v>10</v>
      </c>
      <c r="L8" s="251"/>
      <c r="M8" s="48"/>
      <c r="N8" s="23" t="s">
        <v>87</v>
      </c>
      <c r="O8" s="9">
        <v>0</v>
      </c>
      <c r="P8" s="275"/>
      <c r="Q8" s="56"/>
      <c r="R8" s="28" t="s">
        <v>87</v>
      </c>
      <c r="S8" s="8">
        <v>0</v>
      </c>
      <c r="T8" s="279"/>
      <c r="U8" s="64"/>
      <c r="V8" s="33" t="s">
        <v>87</v>
      </c>
      <c r="W8" s="10">
        <v>0</v>
      </c>
      <c r="X8" s="231"/>
      <c r="Y8" s="72"/>
      <c r="Z8" s="12" t="s">
        <v>87</v>
      </c>
      <c r="AA8" s="11">
        <v>0</v>
      </c>
    </row>
    <row r="9" spans="2:27" ht="15.75" customHeight="1" x14ac:dyDescent="0.25">
      <c r="B9" s="215" t="s">
        <v>346</v>
      </c>
      <c r="C9" s="216"/>
      <c r="D9" s="311" t="s">
        <v>352</v>
      </c>
      <c r="E9" s="312"/>
      <c r="F9" s="313"/>
      <c r="G9" s="100" t="s">
        <v>55</v>
      </c>
      <c r="H9" s="79" t="s">
        <v>353</v>
      </c>
      <c r="I9" s="42"/>
      <c r="J9" s="234" t="str">
        <f>H9&amp;" Modified"</f>
        <v>Year/Make/Model/Size/etc. 1 Modified</v>
      </c>
      <c r="K9" s="235"/>
      <c r="L9" s="14" t="s">
        <v>354</v>
      </c>
      <c r="M9" s="49"/>
      <c r="N9" s="252" t="str">
        <f>L9&amp;" Modified"</f>
        <v>Year/Make/Model/Size/etc. 2 Modified</v>
      </c>
      <c r="O9" s="253"/>
      <c r="P9" s="19" t="s">
        <v>355</v>
      </c>
      <c r="Q9" s="57"/>
      <c r="R9" s="260" t="str">
        <f>P9&amp;" Modified"</f>
        <v>Year/Make/Model/Size/etc. 3 Modified</v>
      </c>
      <c r="S9" s="261"/>
      <c r="T9" s="24" t="s">
        <v>356</v>
      </c>
      <c r="U9" s="65"/>
      <c r="V9" s="280" t="str">
        <f>T9&amp;" Modified"</f>
        <v>Year/Make/Model/Size/etc. 4 Modified</v>
      </c>
      <c r="W9" s="281"/>
      <c r="X9" s="29" t="s">
        <v>357</v>
      </c>
      <c r="Y9" s="73"/>
      <c r="Z9" s="289" t="str">
        <f>X9&amp;" Modified"</f>
        <v>Year/Make/Model/Size/etc. 5 Modified</v>
      </c>
      <c r="AA9" s="290"/>
    </row>
    <row r="10" spans="2:27" ht="17.25" x14ac:dyDescent="0.25">
      <c r="B10" s="217"/>
      <c r="C10" s="218"/>
      <c r="D10" s="329" t="s">
        <v>366</v>
      </c>
      <c r="E10" s="330"/>
      <c r="F10" s="331"/>
      <c r="G10" s="101" t="s">
        <v>358</v>
      </c>
      <c r="H10" s="80">
        <v>740</v>
      </c>
      <c r="I10" s="43"/>
      <c r="J10" s="205">
        <v>740</v>
      </c>
      <c r="K10" s="206"/>
      <c r="L10" s="15">
        <v>754</v>
      </c>
      <c r="M10" s="50"/>
      <c r="N10" s="207">
        <v>754</v>
      </c>
      <c r="O10" s="208"/>
      <c r="P10" s="20">
        <v>726</v>
      </c>
      <c r="Q10" s="58"/>
      <c r="R10" s="209">
        <v>726</v>
      </c>
      <c r="S10" s="210"/>
      <c r="T10" s="25">
        <v>744</v>
      </c>
      <c r="U10" s="66"/>
      <c r="V10" s="211">
        <v>744</v>
      </c>
      <c r="W10" s="212"/>
      <c r="X10" s="30">
        <v>765</v>
      </c>
      <c r="Y10" s="74"/>
      <c r="Z10" s="213">
        <v>765</v>
      </c>
      <c r="AA10" s="214"/>
    </row>
    <row r="11" spans="2:27" ht="17.25" x14ac:dyDescent="0.25">
      <c r="B11" s="217"/>
      <c r="C11" s="218"/>
      <c r="D11" s="329" t="s">
        <v>365</v>
      </c>
      <c r="E11" s="330"/>
      <c r="F11" s="331"/>
      <c r="G11" s="101" t="s">
        <v>358</v>
      </c>
      <c r="H11" s="80">
        <v>740</v>
      </c>
      <c r="I11" s="43"/>
      <c r="J11" s="205">
        <v>754</v>
      </c>
      <c r="K11" s="206"/>
      <c r="L11" s="15">
        <v>754</v>
      </c>
      <c r="M11" s="50"/>
      <c r="N11" s="207">
        <v>754</v>
      </c>
      <c r="O11" s="208"/>
      <c r="P11" s="20">
        <v>726</v>
      </c>
      <c r="Q11" s="58"/>
      <c r="R11" s="209">
        <v>749</v>
      </c>
      <c r="S11" s="210"/>
      <c r="T11" s="25">
        <v>744</v>
      </c>
      <c r="U11" s="66"/>
      <c r="V11" s="211">
        <v>744</v>
      </c>
      <c r="W11" s="212"/>
      <c r="X11" s="30">
        <v>765</v>
      </c>
      <c r="Y11" s="74"/>
      <c r="Z11" s="213">
        <v>765</v>
      </c>
      <c r="AA11" s="214"/>
    </row>
    <row r="12" spans="2:27" x14ac:dyDescent="0.25">
      <c r="B12" s="217"/>
      <c r="C12" s="218"/>
      <c r="D12" s="202" t="s">
        <v>364</v>
      </c>
      <c r="E12" s="203"/>
      <c r="F12" s="204"/>
      <c r="G12" s="101" t="s">
        <v>358</v>
      </c>
      <c r="H12" s="80">
        <v>455</v>
      </c>
      <c r="I12" s="43"/>
      <c r="J12" s="221">
        <f>'Background calcs'!J10-'Background calcs'!J6</f>
        <v>443.57619942857707</v>
      </c>
      <c r="K12" s="222"/>
      <c r="L12" s="15">
        <v>470</v>
      </c>
      <c r="M12" s="50"/>
      <c r="N12" s="246">
        <f>'Background calcs'!N10-'Background calcs'!N6</f>
        <v>469.99999999999994</v>
      </c>
      <c r="O12" s="247"/>
      <c r="P12" s="20">
        <v>450</v>
      </c>
      <c r="Q12" s="58"/>
      <c r="R12" s="262">
        <f>'Background calcs'!R10-'Background calcs'!R6</f>
        <v>434.50744049447343</v>
      </c>
      <c r="S12" s="263"/>
      <c r="T12" s="25">
        <v>462</v>
      </c>
      <c r="U12" s="66"/>
      <c r="V12" s="244">
        <f>'Background calcs'!V10-'Background calcs'!V6</f>
        <v>463.08055015526435</v>
      </c>
      <c r="W12" s="245"/>
      <c r="X12" s="30">
        <v>415</v>
      </c>
      <c r="Y12" s="74"/>
      <c r="Z12" s="284">
        <f>'Background calcs'!Z10-'Background calcs'!Z6</f>
        <v>415.49654135817485</v>
      </c>
      <c r="AA12" s="285"/>
    </row>
    <row r="13" spans="2:27" x14ac:dyDescent="0.25">
      <c r="B13" s="217"/>
      <c r="C13" s="218"/>
      <c r="D13" s="202" t="s">
        <v>363</v>
      </c>
      <c r="E13" s="203"/>
      <c r="F13" s="204"/>
      <c r="G13" s="101" t="s">
        <v>358</v>
      </c>
      <c r="H13" s="80">
        <v>627</v>
      </c>
      <c r="I13" s="43"/>
      <c r="J13" s="221">
        <f>'Background calcs'!J11-'Background calcs'!J7</f>
        <v>630.64059549144997</v>
      </c>
      <c r="K13" s="222"/>
      <c r="L13" s="15">
        <v>639</v>
      </c>
      <c r="M13" s="50"/>
      <c r="N13" s="246">
        <f>'Background calcs'!N11-'Background calcs'!N7</f>
        <v>639</v>
      </c>
      <c r="O13" s="247"/>
      <c r="P13" s="20">
        <v>623</v>
      </c>
      <c r="Q13" s="58"/>
      <c r="R13" s="262">
        <f>'Background calcs'!R11-'Background calcs'!R7</f>
        <v>630.67686201533036</v>
      </c>
      <c r="S13" s="263"/>
      <c r="T13" s="25">
        <v>613</v>
      </c>
      <c r="U13" s="66"/>
      <c r="V13" s="244">
        <f>'Background calcs'!V11-'Background calcs'!V7</f>
        <v>607.98957249744876</v>
      </c>
      <c r="W13" s="245"/>
      <c r="X13" s="30">
        <v>623</v>
      </c>
      <c r="Y13" s="74"/>
      <c r="Z13" s="284">
        <f>'Background calcs'!Z11-'Background calcs'!Z7</f>
        <v>618.16235738509238</v>
      </c>
      <c r="AA13" s="285"/>
    </row>
    <row r="14" spans="2:27" x14ac:dyDescent="0.25">
      <c r="B14" s="217"/>
      <c r="C14" s="218"/>
      <c r="D14" s="202" t="s">
        <v>362</v>
      </c>
      <c r="E14" s="203"/>
      <c r="F14" s="204"/>
      <c r="G14" s="101" t="s">
        <v>359</v>
      </c>
      <c r="H14" s="80">
        <v>64.5</v>
      </c>
      <c r="I14" s="43"/>
      <c r="J14" s="221">
        <f>H14-DEGREES('Background calcs'!I20)+K5</f>
        <v>61.802741005319618</v>
      </c>
      <c r="K14" s="222"/>
      <c r="L14" s="15">
        <v>65</v>
      </c>
      <c r="M14" s="50"/>
      <c r="N14" s="246">
        <f>L14-DEGREES('Background calcs'!M20)+O5</f>
        <v>65</v>
      </c>
      <c r="O14" s="247"/>
      <c r="P14" s="20">
        <v>68</v>
      </c>
      <c r="Q14" s="58"/>
      <c r="R14" s="262">
        <f>P14-DEGREES('Background calcs'!Q20)+S5</f>
        <v>65.349176903666176</v>
      </c>
      <c r="S14" s="263"/>
      <c r="T14" s="25">
        <v>66.5</v>
      </c>
      <c r="U14" s="66"/>
      <c r="V14" s="244">
        <f>T14-DEGREES('Background calcs'!U20)+W5</f>
        <v>64.932560924434668</v>
      </c>
      <c r="W14" s="245"/>
      <c r="X14" s="30">
        <v>68</v>
      </c>
      <c r="Y14" s="74"/>
      <c r="Z14" s="284">
        <f>X14-DEGREES('Background calcs'!Y20)+AA5</f>
        <v>66.43505043819161</v>
      </c>
      <c r="AA14" s="285"/>
    </row>
    <row r="15" spans="2:27" ht="15.75" customHeight="1" x14ac:dyDescent="0.25">
      <c r="B15" s="217"/>
      <c r="C15" s="218"/>
      <c r="D15" s="202" t="s">
        <v>361</v>
      </c>
      <c r="E15" s="203"/>
      <c r="F15" s="204"/>
      <c r="G15" s="101" t="s">
        <v>359</v>
      </c>
      <c r="H15" s="80">
        <v>76.599999999999994</v>
      </c>
      <c r="I15" s="43"/>
      <c r="J15" s="221">
        <f>H15-DEGREES('Background calcs'!I20)</f>
        <v>75.902741005319612</v>
      </c>
      <c r="K15" s="222"/>
      <c r="L15" s="15">
        <v>76.400000000000006</v>
      </c>
      <c r="M15" s="50"/>
      <c r="N15" s="246">
        <f>L15-DEGREES('Background calcs'!M20)</f>
        <v>76.400000000000006</v>
      </c>
      <c r="O15" s="247"/>
      <c r="P15" s="20">
        <v>75</v>
      </c>
      <c r="Q15" s="58"/>
      <c r="R15" s="262">
        <f>P15-DEGREES('Background calcs'!Q20)</f>
        <v>73.849176903666176</v>
      </c>
      <c r="S15" s="263"/>
      <c r="T15" s="25">
        <v>74.5</v>
      </c>
      <c r="U15" s="66"/>
      <c r="V15" s="244">
        <f>T15-DEGREES('Background calcs'!U20)</f>
        <v>74.932560924434668</v>
      </c>
      <c r="W15" s="245"/>
      <c r="X15" s="30">
        <v>75</v>
      </c>
      <c r="Y15" s="74"/>
      <c r="Z15" s="284">
        <f>X15-DEGREES('Background calcs'!Y20)</f>
        <v>75.43505043819161</v>
      </c>
      <c r="AA15" s="285"/>
    </row>
    <row r="16" spans="2:27" x14ac:dyDescent="0.25">
      <c r="B16" s="217"/>
      <c r="C16" s="218"/>
      <c r="D16" s="202" t="s">
        <v>360</v>
      </c>
      <c r="E16" s="203"/>
      <c r="F16" s="204"/>
      <c r="G16" s="101" t="s">
        <v>358</v>
      </c>
      <c r="H16" s="80">
        <v>420</v>
      </c>
      <c r="I16" s="43"/>
      <c r="J16" s="221">
        <f>H16</f>
        <v>420</v>
      </c>
      <c r="K16" s="222"/>
      <c r="L16" s="15">
        <v>410</v>
      </c>
      <c r="M16" s="50"/>
      <c r="N16" s="246">
        <f>L16</f>
        <v>410</v>
      </c>
      <c r="O16" s="247"/>
      <c r="P16" s="20">
        <v>420</v>
      </c>
      <c r="Q16" s="58"/>
      <c r="R16" s="262">
        <f>P16</f>
        <v>420</v>
      </c>
      <c r="S16" s="263"/>
      <c r="T16" s="25">
        <v>464</v>
      </c>
      <c r="U16" s="66"/>
      <c r="V16" s="244">
        <f>T16</f>
        <v>464</v>
      </c>
      <c r="W16" s="245"/>
      <c r="X16" s="30">
        <v>470</v>
      </c>
      <c r="Y16" s="74"/>
      <c r="Z16" s="284">
        <f>X16</f>
        <v>470</v>
      </c>
      <c r="AA16" s="285"/>
    </row>
    <row r="17" spans="2:27" ht="17.25" x14ac:dyDescent="0.25">
      <c r="B17" s="217"/>
      <c r="C17" s="218"/>
      <c r="D17" s="202" t="s">
        <v>341</v>
      </c>
      <c r="E17" s="203"/>
      <c r="F17" s="204"/>
      <c r="G17" s="101" t="s">
        <v>55</v>
      </c>
      <c r="H17" s="80" t="s">
        <v>89</v>
      </c>
      <c r="I17" s="43"/>
      <c r="J17" s="221" t="str">
        <f>H17</f>
        <v>Chainstay Length</v>
      </c>
      <c r="K17" s="222"/>
      <c r="L17" s="15" t="s">
        <v>89</v>
      </c>
      <c r="M17" s="50"/>
      <c r="N17" s="246" t="str">
        <f>L17</f>
        <v>Chainstay Length</v>
      </c>
      <c r="O17" s="247"/>
      <c r="P17" s="20" t="s">
        <v>89</v>
      </c>
      <c r="Q17" s="58"/>
      <c r="R17" s="262" t="str">
        <f>P17</f>
        <v>Chainstay Length</v>
      </c>
      <c r="S17" s="263"/>
      <c r="T17" s="25" t="s">
        <v>89</v>
      </c>
      <c r="U17" s="66"/>
      <c r="V17" s="244" t="str">
        <f>T17</f>
        <v>Chainstay Length</v>
      </c>
      <c r="W17" s="245"/>
      <c r="X17" s="30" t="s">
        <v>89</v>
      </c>
      <c r="Y17" s="74"/>
      <c r="Z17" s="284" t="str">
        <f>X17</f>
        <v>Chainstay Length</v>
      </c>
      <c r="AA17" s="285"/>
    </row>
    <row r="18" spans="2:27" x14ac:dyDescent="0.25">
      <c r="B18" s="217"/>
      <c r="C18" s="218"/>
      <c r="D18" s="202" t="s">
        <v>372</v>
      </c>
      <c r="E18" s="203"/>
      <c r="F18" s="204"/>
      <c r="G18" s="101" t="s">
        <v>358</v>
      </c>
      <c r="H18" s="80">
        <v>437</v>
      </c>
      <c r="I18" s="43"/>
      <c r="J18" s="221" t="s">
        <v>91</v>
      </c>
      <c r="K18" s="222"/>
      <c r="L18" s="15">
        <v>428</v>
      </c>
      <c r="M18" s="50"/>
      <c r="N18" s="246" t="s">
        <v>91</v>
      </c>
      <c r="O18" s="247"/>
      <c r="P18" s="20">
        <v>415</v>
      </c>
      <c r="Q18" s="58"/>
      <c r="R18" s="262" t="s">
        <v>91</v>
      </c>
      <c r="S18" s="263"/>
      <c r="T18" s="25">
        <v>435</v>
      </c>
      <c r="U18" s="66"/>
      <c r="V18" s="244" t="s">
        <v>91</v>
      </c>
      <c r="W18" s="245"/>
      <c r="X18" s="30">
        <v>470</v>
      </c>
      <c r="Y18" s="74"/>
      <c r="Z18" s="284" t="s">
        <v>91</v>
      </c>
      <c r="AA18" s="285"/>
    </row>
    <row r="19" spans="2:27" x14ac:dyDescent="0.25">
      <c r="B19" s="217"/>
      <c r="C19" s="218"/>
      <c r="D19" s="202" t="s">
        <v>89</v>
      </c>
      <c r="E19" s="203"/>
      <c r="F19" s="204"/>
      <c r="G19" s="101" t="s">
        <v>358</v>
      </c>
      <c r="H19" s="81">
        <f>IF(H17="Chainstay Length",H18,SQRT(H20^2+H21^2))</f>
        <v>437</v>
      </c>
      <c r="I19" s="44"/>
      <c r="J19" s="221">
        <f>SQRT(('Background calcs'!J2-'Background calcs'!J6)^2+('Background calcs'!J3-'Background calcs'!J7)^2)</f>
        <v>446.98838005513903</v>
      </c>
      <c r="K19" s="222"/>
      <c r="L19" s="16">
        <f>IF(L17="Chainstay Length",L18,SQRT(L20^2+L21^2))</f>
        <v>428</v>
      </c>
      <c r="M19" s="51"/>
      <c r="N19" s="246">
        <f>SQRT(('Background calcs'!N2-'Background calcs'!N6)^2+('Background calcs'!N3-'Background calcs'!N7)^2)</f>
        <v>428.00000000000006</v>
      </c>
      <c r="O19" s="247"/>
      <c r="P19" s="21">
        <f>IF(P17="Chainstay Length",P18,SQRT(P20^2+P21^2))</f>
        <v>415</v>
      </c>
      <c r="Q19" s="59"/>
      <c r="R19" s="262">
        <f>SQRT(('Background calcs'!R2-'Background calcs'!R6)^2+('Background calcs'!R3-'Background calcs'!R7)^2)</f>
        <v>415</v>
      </c>
      <c r="S19" s="263"/>
      <c r="T19" s="26">
        <f>IF(T17="Chainstay Length",T18,SQRT(T20^2+T21^2))</f>
        <v>435</v>
      </c>
      <c r="U19" s="67"/>
      <c r="V19" s="244">
        <f>SQRT(('Background calcs'!V2-'Background calcs'!V6)^2+('Background calcs'!V3-'Background calcs'!V7)^2)</f>
        <v>434.99999999999994</v>
      </c>
      <c r="W19" s="245"/>
      <c r="X19" s="31">
        <f>IF(X17="Chainstay Length",X18,SQRT(X20^2+X21^2))</f>
        <v>470</v>
      </c>
      <c r="Y19" s="75"/>
      <c r="Z19" s="284">
        <f>SQRT(('Background calcs'!Z2-'Background calcs'!Z6)^2+('Background calcs'!Z3-'Background calcs'!Z7)^2)</f>
        <v>469.99999999999994</v>
      </c>
      <c r="AA19" s="285"/>
    </row>
    <row r="20" spans="2:27" x14ac:dyDescent="0.25">
      <c r="B20" s="217"/>
      <c r="C20" s="218"/>
      <c r="D20" s="202" t="s">
        <v>90</v>
      </c>
      <c r="E20" s="203"/>
      <c r="F20" s="204"/>
      <c r="G20" s="101" t="s">
        <v>358</v>
      </c>
      <c r="H20" s="82">
        <f>IF(H17="Chainstay Length",SQRT(H19^2-H21^2),H18)</f>
        <v>436.48059521586981</v>
      </c>
      <c r="I20" s="34"/>
      <c r="J20" s="221">
        <f>'Background calcs'!J6-'Background calcs'!J2</f>
        <v>446.70673786560144</v>
      </c>
      <c r="K20" s="222"/>
      <c r="L20" s="16">
        <f>IF(L17="Chainstay Length",SQRT(L19^2-L21^2),L18)</f>
        <v>424.45141064673118</v>
      </c>
      <c r="M20" s="51"/>
      <c r="N20" s="246">
        <f>'Background calcs'!N6-'Background calcs'!N2</f>
        <v>424.45141064673118</v>
      </c>
      <c r="O20" s="247"/>
      <c r="P20" s="21">
        <f>IF(P17="Chainstay Length",SQRT(P19^2-P21^2),P18)</f>
        <v>411.33927602406266</v>
      </c>
      <c r="Q20" s="59"/>
      <c r="R20" s="262">
        <f>'Background calcs'!R6-'Background calcs'!R2</f>
        <v>412.36094139732887</v>
      </c>
      <c r="S20" s="263"/>
      <c r="T20" s="26">
        <f>IF(T17="Chainstay Length",SQRT(T19^2-T21^2),T18)</f>
        <v>433.58966777357597</v>
      </c>
      <c r="U20" s="67"/>
      <c r="V20" s="244">
        <f>'Background calcs'!V6-'Background calcs'!V2</f>
        <v>433.31307733168836</v>
      </c>
      <c r="W20" s="245"/>
      <c r="X20" s="31">
        <f>IF(X17="Chainstay Length",SQRT(X19^2-X21^2),X18)</f>
        <v>469.85928744678444</v>
      </c>
      <c r="Y20" s="75"/>
      <c r="Z20" s="284">
        <f>'Background calcs'!Z6-'Background calcs'!Z2</f>
        <v>469.75842335709541</v>
      </c>
      <c r="AA20" s="285"/>
    </row>
    <row r="21" spans="2:27" ht="17.25" x14ac:dyDescent="0.25">
      <c r="B21" s="217"/>
      <c r="C21" s="218"/>
      <c r="D21" s="202" t="s">
        <v>373</v>
      </c>
      <c r="E21" s="203"/>
      <c r="F21" s="204"/>
      <c r="G21" s="101" t="s">
        <v>358</v>
      </c>
      <c r="H21" s="80">
        <v>21.3</v>
      </c>
      <c r="I21" s="43"/>
      <c r="J21" s="221">
        <f>'Background calcs'!J3-'Background calcs'!J7</f>
        <v>15.865126844442461</v>
      </c>
      <c r="K21" s="222"/>
      <c r="L21" s="15">
        <v>55</v>
      </c>
      <c r="M21" s="50"/>
      <c r="N21" s="246">
        <f>'Background calcs'!N3-'Background calcs'!N7</f>
        <v>55</v>
      </c>
      <c r="O21" s="247"/>
      <c r="P21" s="20">
        <v>55</v>
      </c>
      <c r="Q21" s="58"/>
      <c r="R21" s="262">
        <f>'Background calcs'!R3-'Background calcs'!R7</f>
        <v>46.727443862346348</v>
      </c>
      <c r="S21" s="263"/>
      <c r="T21" s="25">
        <v>35</v>
      </c>
      <c r="U21" s="66"/>
      <c r="V21" s="244">
        <f>'Background calcs'!V3-'Background calcs'!V7</f>
        <v>38.272405377010578</v>
      </c>
      <c r="W21" s="245"/>
      <c r="X21" s="30">
        <v>11.5</v>
      </c>
      <c r="Y21" s="74"/>
      <c r="Z21" s="284">
        <f>'Background calcs'!Z3-'Background calcs'!Z7</f>
        <v>15.067305169004632</v>
      </c>
      <c r="AA21" s="285"/>
    </row>
    <row r="22" spans="2:27" ht="17.25" x14ac:dyDescent="0.25">
      <c r="B22" s="217"/>
      <c r="C22" s="218"/>
      <c r="D22" s="202" t="s">
        <v>374</v>
      </c>
      <c r="E22" s="203"/>
      <c r="F22" s="204"/>
      <c r="G22" s="101" t="s">
        <v>358</v>
      </c>
      <c r="H22" s="82">
        <f>'Background calcs'!H14-'Background calcs'!H7</f>
        <v>21.3</v>
      </c>
      <c r="I22" s="45"/>
      <c r="J22" s="221">
        <f>'Background calcs'!J14-'Background calcs'!J7</f>
        <v>22.865126844442457</v>
      </c>
      <c r="K22" s="222"/>
      <c r="L22" s="87">
        <f>'Background calcs'!L14-'Background calcs'!L7</f>
        <v>55</v>
      </c>
      <c r="M22" s="52"/>
      <c r="N22" s="246">
        <f>'Background calcs'!N14-'Background calcs'!N7</f>
        <v>55</v>
      </c>
      <c r="O22" s="247"/>
      <c r="P22" s="88">
        <f>'Background calcs'!P14-'Background calcs'!P7</f>
        <v>55</v>
      </c>
      <c r="Q22" s="60"/>
      <c r="R22" s="262">
        <f>'Background calcs'!R14-'Background calcs'!R7</f>
        <v>58.227443862346348</v>
      </c>
      <c r="S22" s="263"/>
      <c r="T22" s="89">
        <f>'Background calcs'!T14-'Background calcs'!T7</f>
        <v>35</v>
      </c>
      <c r="U22" s="68"/>
      <c r="V22" s="244">
        <f>'Background calcs'!V14-'Background calcs'!V7</f>
        <v>38.272405377010578</v>
      </c>
      <c r="W22" s="245"/>
      <c r="X22" s="90">
        <f>'Background calcs'!X14-'Background calcs'!X7</f>
        <v>11.5</v>
      </c>
      <c r="Y22" s="76"/>
      <c r="Z22" s="288">
        <f>'Background calcs'!Z14-'Background calcs'!Z7</f>
        <v>15.067305169004632</v>
      </c>
      <c r="AA22" s="285"/>
    </row>
    <row r="23" spans="2:27" ht="17.25" x14ac:dyDescent="0.25">
      <c r="B23" s="217"/>
      <c r="C23" s="218"/>
      <c r="D23" s="202" t="s">
        <v>375</v>
      </c>
      <c r="E23" s="203"/>
      <c r="F23" s="204"/>
      <c r="G23" s="101" t="s">
        <v>358</v>
      </c>
      <c r="H23" s="82">
        <f>('Background calcs'!H14-'Background calcs'!H3)/('Background calcs'!H18-'Background calcs'!H2)*('Background calcs'!H6-'Background calcs'!H2)+'Background calcs'!H3-'Background calcs'!H7</f>
        <v>21.3</v>
      </c>
      <c r="I23" s="45"/>
      <c r="J23" s="221">
        <f>('Background calcs'!J14-'Background calcs'!J3)/('Background calcs'!J18-'Background calcs'!J2)*('Background calcs'!J6-'Background calcs'!J2)+'Background calcs'!J3-'Background calcs'!J7</f>
        <v>18.339393785085015</v>
      </c>
      <c r="K23" s="222"/>
      <c r="L23" s="16">
        <f>('Background calcs'!L14-'Background calcs'!L3)/('Background calcs'!L18-'Background calcs'!L2)*('Background calcs'!L6-'Background calcs'!L2)+'Background calcs'!L3-'Background calcs'!L7</f>
        <v>55</v>
      </c>
      <c r="M23" s="53"/>
      <c r="N23" s="246">
        <f>('Background calcs'!N14-'Background calcs'!N3)/('Background calcs'!N18-'Background calcs'!N2)*('Background calcs'!N6-'Background calcs'!N2)+'Background calcs'!N3-'Background calcs'!N7</f>
        <v>55</v>
      </c>
      <c r="O23" s="247"/>
      <c r="P23" s="21">
        <f>('Background calcs'!P14-'Background calcs'!P3)/('Background calcs'!P18-'Background calcs'!P2)*('Background calcs'!P6-'Background calcs'!P2)+'Background calcs'!P3-'Background calcs'!P7</f>
        <v>55</v>
      </c>
      <c r="Q23" s="61"/>
      <c r="R23" s="262">
        <f>('Background calcs'!R14-'Background calcs'!R3)/('Background calcs'!R18-'Background calcs'!R2)*('Background calcs'!R6-'Background calcs'!R2)+'Background calcs'!R3-'Background calcs'!R7</f>
        <v>50.795569324936039</v>
      </c>
      <c r="S23" s="263"/>
      <c r="T23" s="26">
        <f>('Background calcs'!T14-'Background calcs'!T3)/('Background calcs'!T18-'Background calcs'!T2)*('Background calcs'!T6-'Background calcs'!T2)+'Background calcs'!T3-'Background calcs'!T7</f>
        <v>35</v>
      </c>
      <c r="U23" s="69"/>
      <c r="V23" s="244">
        <f>('Background calcs'!V14-'Background calcs'!V3)/('Background calcs'!V18-'Background calcs'!V2)*('Background calcs'!V6-'Background calcs'!V2)+'Background calcs'!V3-'Background calcs'!V7</f>
        <v>38.272405377010578</v>
      </c>
      <c r="W23" s="245"/>
      <c r="X23" s="31">
        <f>('Background calcs'!X14-'Background calcs'!X3)/('Background calcs'!X18-'Background calcs'!X2)*('Background calcs'!X6-'Background calcs'!X2)+'Background calcs'!X3-'Background calcs'!X7</f>
        <v>11.5</v>
      </c>
      <c r="Y23" s="77"/>
      <c r="Z23" s="284">
        <f>('Background calcs'!Z14-'Background calcs'!Z3)/('Background calcs'!Z18-'Background calcs'!Z2)*('Background calcs'!Z6-'Background calcs'!Z2)+'Background calcs'!Z3-'Background calcs'!Z7</f>
        <v>15.067305169004632</v>
      </c>
      <c r="AA23" s="285"/>
    </row>
    <row r="24" spans="2:27" ht="17.25" x14ac:dyDescent="0.25">
      <c r="B24" s="217"/>
      <c r="C24" s="218"/>
      <c r="D24" s="202" t="s">
        <v>376</v>
      </c>
      <c r="E24" s="203"/>
      <c r="F24" s="204"/>
      <c r="G24" s="101" t="s">
        <v>358</v>
      </c>
      <c r="H24" s="82">
        <f>H10/2-H21</f>
        <v>348.7</v>
      </c>
      <c r="I24" s="34"/>
      <c r="J24" s="221">
        <f>'Background calcs'!J7-'Background calcs'!J15</f>
        <v>354.13487315555756</v>
      </c>
      <c r="K24" s="222"/>
      <c r="L24" s="16">
        <f>L10/2-L21</f>
        <v>322</v>
      </c>
      <c r="M24" s="51"/>
      <c r="N24" s="246">
        <f>'Background calcs'!N7-'Background calcs'!N15</f>
        <v>322</v>
      </c>
      <c r="O24" s="247"/>
      <c r="P24" s="21">
        <f>P10/2-P21</f>
        <v>308</v>
      </c>
      <c r="Q24" s="59"/>
      <c r="R24" s="262">
        <f>'Background calcs'!R7-'Background calcs'!R15</f>
        <v>316.27255613765362</v>
      </c>
      <c r="S24" s="263"/>
      <c r="T24" s="26">
        <f>T10/2-T21</f>
        <v>337</v>
      </c>
      <c r="U24" s="67"/>
      <c r="V24" s="244">
        <f>'Background calcs'!V7-'Background calcs'!V15</f>
        <v>333.72759462298944</v>
      </c>
      <c r="W24" s="245"/>
      <c r="X24" s="31">
        <f>X10/2-X21</f>
        <v>371</v>
      </c>
      <c r="Y24" s="75"/>
      <c r="Z24" s="284">
        <f>'Background calcs'!Z7-'Background calcs'!Z15</f>
        <v>367.43269483099539</v>
      </c>
      <c r="AA24" s="285"/>
    </row>
    <row r="25" spans="2:27" x14ac:dyDescent="0.25">
      <c r="B25" s="217"/>
      <c r="C25" s="218"/>
      <c r="D25" s="202" t="s">
        <v>377</v>
      </c>
      <c r="E25" s="203"/>
      <c r="F25" s="204"/>
      <c r="G25" s="101" t="s">
        <v>358</v>
      </c>
      <c r="H25" s="80">
        <v>120</v>
      </c>
      <c r="I25" s="43"/>
      <c r="J25" s="221">
        <f>H25</f>
        <v>120</v>
      </c>
      <c r="K25" s="222"/>
      <c r="L25" s="15">
        <v>120</v>
      </c>
      <c r="M25" s="50"/>
      <c r="N25" s="246">
        <f>L25</f>
        <v>120</v>
      </c>
      <c r="O25" s="247"/>
      <c r="P25" s="20">
        <v>120</v>
      </c>
      <c r="Q25" s="58"/>
      <c r="R25" s="262">
        <f>P25</f>
        <v>120</v>
      </c>
      <c r="S25" s="263"/>
      <c r="T25" s="25">
        <v>110</v>
      </c>
      <c r="U25" s="66"/>
      <c r="V25" s="244">
        <f>T25</f>
        <v>110</v>
      </c>
      <c r="W25" s="245"/>
      <c r="X25" s="30">
        <v>130</v>
      </c>
      <c r="Y25" s="74"/>
      <c r="Z25" s="284">
        <f>X25</f>
        <v>130</v>
      </c>
      <c r="AA25" s="285"/>
    </row>
    <row r="26" spans="2:27" x14ac:dyDescent="0.25">
      <c r="B26" s="217"/>
      <c r="C26" s="218"/>
      <c r="D26" s="202" t="s">
        <v>378</v>
      </c>
      <c r="E26" s="203"/>
      <c r="F26" s="204"/>
      <c r="G26" s="101" t="s">
        <v>358</v>
      </c>
      <c r="H26" s="80">
        <v>44</v>
      </c>
      <c r="I26" s="43"/>
      <c r="J26" s="223">
        <v>42</v>
      </c>
      <c r="K26" s="224"/>
      <c r="L26" s="15">
        <v>42</v>
      </c>
      <c r="M26" s="50"/>
      <c r="N26" s="240">
        <v>42</v>
      </c>
      <c r="O26" s="241"/>
      <c r="P26" s="20">
        <v>51</v>
      </c>
      <c r="Q26" s="58"/>
      <c r="R26" s="242">
        <v>51</v>
      </c>
      <c r="S26" s="243"/>
      <c r="T26" s="25">
        <v>42</v>
      </c>
      <c r="U26" s="66"/>
      <c r="V26" s="286">
        <v>42</v>
      </c>
      <c r="W26" s="287"/>
      <c r="X26" s="30">
        <v>51</v>
      </c>
      <c r="Y26" s="74"/>
      <c r="Z26" s="295">
        <v>51</v>
      </c>
      <c r="AA26" s="296"/>
    </row>
    <row r="27" spans="2:27" ht="17.25" x14ac:dyDescent="0.25">
      <c r="B27" s="217"/>
      <c r="C27" s="218"/>
      <c r="D27" s="202" t="s">
        <v>379</v>
      </c>
      <c r="E27" s="203"/>
      <c r="F27" s="204"/>
      <c r="G27" s="101" t="s">
        <v>358</v>
      </c>
      <c r="H27" s="80">
        <v>700</v>
      </c>
      <c r="I27" s="43"/>
      <c r="J27" s="221">
        <f>'Background calcs'!J23+J10/2</f>
        <v>704.74635471206216</v>
      </c>
      <c r="K27" s="222"/>
      <c r="L27" s="15">
        <v>640</v>
      </c>
      <c r="M27" s="50"/>
      <c r="N27" s="246">
        <f>'Background calcs'!N23+N10/2</f>
        <v>640</v>
      </c>
      <c r="O27" s="247"/>
      <c r="P27" s="20">
        <v>725</v>
      </c>
      <c r="Q27" s="58"/>
      <c r="R27" s="262">
        <f>'Background calcs'!R23+R10/2</f>
        <v>731.26033289738666</v>
      </c>
      <c r="S27" s="263"/>
      <c r="T27" s="25">
        <v>761</v>
      </c>
      <c r="U27" s="66"/>
      <c r="V27" s="244">
        <f>'Background calcs'!V23+V10/2</f>
        <v>758.41082232369104</v>
      </c>
      <c r="W27" s="245"/>
      <c r="X27" s="30">
        <v>745</v>
      </c>
      <c r="Y27" s="74"/>
      <c r="Z27" s="284">
        <f>'Background calcs'!Z23+Z10/2</f>
        <v>742.07511818955845</v>
      </c>
      <c r="AA27" s="285"/>
    </row>
    <row r="28" spans="2:27" x14ac:dyDescent="0.25">
      <c r="B28" s="217"/>
      <c r="C28" s="218"/>
      <c r="D28" s="202" t="s">
        <v>380</v>
      </c>
      <c r="E28" s="203"/>
      <c r="F28" s="204"/>
      <c r="G28" s="101" t="s">
        <v>358</v>
      </c>
      <c r="H28" s="82">
        <f>'Background calcs'!H19-'Background calcs'!H4</f>
        <v>1229.1335313107741</v>
      </c>
      <c r="I28" s="34"/>
      <c r="J28" s="221">
        <f>'Background calcs'!J19-'Background calcs'!J4</f>
        <v>1263.7873115853697</v>
      </c>
      <c r="K28" s="222"/>
      <c r="L28" s="16">
        <f>'Background calcs'!L19-'Background calcs'!L4</f>
        <v>1213.116955605675</v>
      </c>
      <c r="M28" s="51"/>
      <c r="N28" s="246">
        <f>'Background calcs'!N19-'Background calcs'!N4</f>
        <v>1213.116955605675</v>
      </c>
      <c r="O28" s="247"/>
      <c r="P28" s="21">
        <f>'Background calcs'!P19-'Background calcs'!P4</f>
        <v>1145.8314441749885</v>
      </c>
      <c r="Q28" s="59"/>
      <c r="R28" s="262">
        <f>'Background calcs'!R19-'Background calcs'!R4</f>
        <v>1165.6845074415478</v>
      </c>
      <c r="S28" s="263"/>
      <c r="T28" s="26">
        <f>'Background calcs'!T19-'Background calcs'!T4</f>
        <v>1192.7097468714303</v>
      </c>
      <c r="U28" s="67"/>
      <c r="V28" s="244">
        <f>'Background calcs'!V19-'Background calcs'!V4</f>
        <v>1209.241296559798</v>
      </c>
      <c r="W28" s="245"/>
      <c r="X28" s="31">
        <f>'Background calcs'!X19-'Background calcs'!X4</f>
        <v>1186.9265964215397</v>
      </c>
      <c r="Y28" s="75"/>
      <c r="Z28" s="284">
        <f>'Background calcs'!Z19-'Background calcs'!Z4</f>
        <v>1203.9414271696567</v>
      </c>
      <c r="AA28" s="285"/>
    </row>
    <row r="29" spans="2:27" x14ac:dyDescent="0.25">
      <c r="B29" s="217"/>
      <c r="C29" s="218"/>
      <c r="D29" s="202" t="s">
        <v>381</v>
      </c>
      <c r="E29" s="203"/>
      <c r="F29" s="204"/>
      <c r="G29" s="101" t="s">
        <v>358</v>
      </c>
      <c r="H29" s="82">
        <f>'Background calcs'!H19-'Background calcs'!H6</f>
        <v>792.65293609490425</v>
      </c>
      <c r="I29" s="34"/>
      <c r="J29" s="221">
        <f>'Background calcs'!J19-'Background calcs'!J6</f>
        <v>817.08057371976827</v>
      </c>
      <c r="K29" s="222"/>
      <c r="L29" s="16">
        <f>'Background calcs'!L19-'Background calcs'!L6</f>
        <v>788.66554495894388</v>
      </c>
      <c r="M29" s="51"/>
      <c r="N29" s="246">
        <f>'Background calcs'!N19-'Background calcs'!N6</f>
        <v>788.66554495894388</v>
      </c>
      <c r="O29" s="247"/>
      <c r="P29" s="21">
        <f>'Background calcs'!P19-'Background calcs'!P6</f>
        <v>734.49216815092586</v>
      </c>
      <c r="Q29" s="59"/>
      <c r="R29" s="262">
        <f>'Background calcs'!R19-'Background calcs'!R6</f>
        <v>753.32356604421898</v>
      </c>
      <c r="S29" s="263"/>
      <c r="T29" s="26">
        <f>'Background calcs'!T19-'Background calcs'!T6</f>
        <v>759.12007909785439</v>
      </c>
      <c r="U29" s="67"/>
      <c r="V29" s="244">
        <f>'Background calcs'!V19-'Background calcs'!V6</f>
        <v>775.92821922810958</v>
      </c>
      <c r="W29" s="245"/>
      <c r="X29" s="31">
        <f>'Background calcs'!X19-'Background calcs'!X6</f>
        <v>717.06730897475518</v>
      </c>
      <c r="Y29" s="75"/>
      <c r="Z29" s="284">
        <f>'Background calcs'!Z19-'Background calcs'!Z6</f>
        <v>734.18300381256131</v>
      </c>
      <c r="AA29" s="285"/>
    </row>
    <row r="30" spans="2:27" x14ac:dyDescent="0.25">
      <c r="B30" s="217"/>
      <c r="C30" s="218"/>
      <c r="D30" s="202" t="s">
        <v>382</v>
      </c>
      <c r="E30" s="203"/>
      <c r="F30" s="204"/>
      <c r="G30" s="101" t="s">
        <v>358</v>
      </c>
      <c r="H30" s="82">
        <f>'Background calcs'!H10-'Background calcs'!H13</f>
        <v>604.37246980085854</v>
      </c>
      <c r="I30" s="34"/>
      <c r="J30" s="221">
        <f>'Background calcs'!J10-'Background calcs'!J13</f>
        <v>600.56767498662305</v>
      </c>
      <c r="K30" s="222"/>
      <c r="L30" s="16">
        <f>'Background calcs'!L10-'Background calcs'!L13</f>
        <v>624.5903695550719</v>
      </c>
      <c r="M30" s="51"/>
      <c r="N30" s="246">
        <f>'Background calcs'!N10-'Background calcs'!N13</f>
        <v>624.5903695550719</v>
      </c>
      <c r="O30" s="247"/>
      <c r="P30" s="21">
        <f>'Background calcs'!P10-'Background calcs'!P13</f>
        <v>616.93234688458938</v>
      </c>
      <c r="Q30" s="59"/>
      <c r="R30" s="262">
        <f>'Background calcs'!R10-'Background calcs'!R13</f>
        <v>613.91863538204507</v>
      </c>
      <c r="S30" s="263"/>
      <c r="T30" s="26">
        <f>'Background calcs'!T10-'Background calcs'!T13</f>
        <v>631.99994550868098</v>
      </c>
      <c r="U30" s="67"/>
      <c r="V30" s="244">
        <f>'Background calcs'!V10-'Background calcs'!V13</f>
        <v>628.44778256738266</v>
      </c>
      <c r="W30" s="245"/>
      <c r="X30" s="31">
        <f>'Background calcs'!X10-'Background calcs'!X13</f>
        <v>581.93234688458949</v>
      </c>
      <c r="Y30" s="75"/>
      <c r="Z30" s="284">
        <f>'Background calcs'!Z10-'Background calcs'!Z13</f>
        <v>577.69364353856486</v>
      </c>
      <c r="AA30" s="285"/>
    </row>
    <row r="31" spans="2:27" x14ac:dyDescent="0.25">
      <c r="B31" s="217"/>
      <c r="C31" s="218"/>
      <c r="D31" s="202" t="s">
        <v>407</v>
      </c>
      <c r="E31" s="203"/>
      <c r="F31" s="204"/>
      <c r="G31" s="101" t="s">
        <v>358</v>
      </c>
      <c r="H31" s="82">
        <f>SQRT(('Background calcs'!H6-'Background calcs'!H10)^2+('Background calcs'!H7-'Background calcs'!H11)^2)</f>
        <v>774.69606943626604</v>
      </c>
      <c r="I31" s="34"/>
      <c r="J31" s="221">
        <f>SQRT(('Background calcs'!J6-'Background calcs'!J10)^2+('Background calcs'!J7-'Background calcs'!J11)^2)</f>
        <v>771.0171239222326</v>
      </c>
      <c r="K31" s="222"/>
      <c r="L31" s="16">
        <f>SQRT(('Background calcs'!L6-'Background calcs'!L10)^2+('Background calcs'!L7-'Background calcs'!L11)^2)</f>
        <v>793.23451765540312</v>
      </c>
      <c r="M31" s="51"/>
      <c r="N31" s="246">
        <f>SQRT(('Background calcs'!N6-'Background calcs'!N10)^2+('Background calcs'!N7-'Background calcs'!N11)^2)</f>
        <v>793.23451765540312</v>
      </c>
      <c r="O31" s="247"/>
      <c r="P31" s="21">
        <f>SQRT(('Background calcs'!P6-'Background calcs'!P10)^2+('Background calcs'!P7-'Background calcs'!P11)^2)</f>
        <v>768.52390984275826</v>
      </c>
      <c r="Q31" s="59"/>
      <c r="R31" s="262">
        <f>SQRT(('Background calcs'!R6-'Background calcs'!R10)^2+('Background calcs'!R7-'Background calcs'!R11)^2)</f>
        <v>765.86553658365017</v>
      </c>
      <c r="S31" s="263"/>
      <c r="T31" s="26">
        <f>SQRT(('Background calcs'!T6-'Background calcs'!T10)^2+('Background calcs'!T7-'Background calcs'!T11)^2)</f>
        <v>767.60211047130406</v>
      </c>
      <c r="U31" s="67"/>
      <c r="V31" s="244">
        <f>SQRT(('Background calcs'!V6-'Background calcs'!V10)^2+('Background calcs'!V7-'Background calcs'!V11)^2)</f>
        <v>764.26102621927066</v>
      </c>
      <c r="W31" s="245"/>
      <c r="X31" s="31">
        <f>SQRT(('Background calcs'!X6-'Background calcs'!X10)^2+('Background calcs'!X7-'Background calcs'!X11)^2)</f>
        <v>748.56796618610394</v>
      </c>
      <c r="Y31" s="75"/>
      <c r="Z31" s="284">
        <f>SQRT(('Background calcs'!Z6-'Background calcs'!Z10)^2+('Background calcs'!Z7-'Background calcs'!Z11)^2)</f>
        <v>744.82352001564789</v>
      </c>
      <c r="AA31" s="285"/>
    </row>
    <row r="32" spans="2:27" x14ac:dyDescent="0.25">
      <c r="B32" s="217"/>
      <c r="C32" s="218"/>
      <c r="D32" s="202" t="s">
        <v>383</v>
      </c>
      <c r="E32" s="203"/>
      <c r="F32" s="204"/>
      <c r="G32" s="101" t="s">
        <v>358</v>
      </c>
      <c r="H32" s="82">
        <f>SQRT(('Background calcs'!H8-'Background calcs'!H18)^2+('Background calcs'!H9-'Background calcs'!H14)^2)</f>
        <v>573.74887976538741</v>
      </c>
      <c r="I32" s="34"/>
      <c r="J32" s="221">
        <f>SQRT(('Background calcs'!J8-'Background calcs'!J18)^2+('Background calcs'!J9-'Background calcs'!J14)^2)</f>
        <v>593.5470888949045</v>
      </c>
      <c r="K32" s="222"/>
      <c r="L32" s="16">
        <f>SQRT(('Background calcs'!L8-'Background calcs'!L18)^2+('Background calcs'!L9-'Background calcs'!L14)^2)</f>
        <v>545.57666668214051</v>
      </c>
      <c r="M32" s="51"/>
      <c r="N32" s="246">
        <f>SQRT(('Background calcs'!N8-'Background calcs'!N18)^2+('Background calcs'!N9-'Background calcs'!N14)^2)</f>
        <v>545.57666668214051</v>
      </c>
      <c r="O32" s="247"/>
      <c r="P32" s="21">
        <f>SQRT(('Background calcs'!P8-'Background calcs'!P18)^2+('Background calcs'!P9-'Background calcs'!P14)^2)</f>
        <v>515.7408812700271</v>
      </c>
      <c r="Q32" s="59"/>
      <c r="R32" s="262">
        <f>SQRT(('Background calcs'!R8-'Background calcs'!R18)^2+('Background calcs'!R9-'Background calcs'!R14)^2)</f>
        <v>535.64650607235603</v>
      </c>
      <c r="S32" s="263"/>
      <c r="T32" s="26">
        <f>SQRT(('Background calcs'!T8-'Background calcs'!T18)^2+('Background calcs'!T9-'Background calcs'!T14)^2)</f>
        <v>540.17236533023856</v>
      </c>
      <c r="U32" s="67"/>
      <c r="V32" s="244">
        <f>SQRT(('Background calcs'!V8-'Background calcs'!V18)^2+('Background calcs'!V9-'Background calcs'!V14)^2)</f>
        <v>540.17236533023845</v>
      </c>
      <c r="W32" s="245"/>
      <c r="X32" s="31">
        <f>SQRT(('Background calcs'!X8-'Background calcs'!X18)^2+('Background calcs'!X9-'Background calcs'!X14)^2)</f>
        <v>552.4882647245704</v>
      </c>
      <c r="Y32" s="75"/>
      <c r="Z32" s="284">
        <f>SQRT(('Background calcs'!Z8-'Background calcs'!Z18)^2+('Background calcs'!Z9-'Background calcs'!Z14)^2)</f>
        <v>552.4882647245704</v>
      </c>
      <c r="AA32" s="285"/>
    </row>
    <row r="33" spans="2:27" ht="15.75" thickBot="1" x14ac:dyDescent="0.3">
      <c r="B33" s="219"/>
      <c r="C33" s="220"/>
      <c r="D33" s="308" t="s">
        <v>384</v>
      </c>
      <c r="E33" s="309"/>
      <c r="F33" s="310"/>
      <c r="G33" s="109" t="s">
        <v>358</v>
      </c>
      <c r="H33" s="110">
        <f>(H11/2*COS(RADIANS(H14))-H26)/SIN(RADIANS(H14))</f>
        <v>127.73209115869081</v>
      </c>
      <c r="I33" s="34"/>
      <c r="J33" s="225">
        <f>(J11/2*COS(RADIANS(J14))-J26)/SIN(RADIANS(J14))</f>
        <v>154.46694467043082</v>
      </c>
      <c r="K33" s="226"/>
      <c r="L33" s="111">
        <f>(L11/2*COS(RADIANS(L14))-L26)/SIN(RADIANS(L14))</f>
        <v>129.45611452800981</v>
      </c>
      <c r="M33" s="112"/>
      <c r="N33" s="256">
        <f>(N11/2*COS(RADIANS(N14))-N26)/SIN(RADIANS(N14))</f>
        <v>129.45611452800981</v>
      </c>
      <c r="O33" s="257"/>
      <c r="P33" s="113">
        <f>(P11/2*COS(RADIANS(P14))-P26)/SIN(RADIANS(P14))</f>
        <v>91.656248101605144</v>
      </c>
      <c r="Q33" s="114"/>
      <c r="R33" s="264">
        <f>(R11/2*COS(RADIANS(R14))-R26)/SIN(RADIANS(R14))</f>
        <v>115.74762338875834</v>
      </c>
      <c r="S33" s="265"/>
      <c r="T33" s="115">
        <f>(T11/2*COS(RADIANS(T14))-T26)/SIN(RADIANS(T14))</f>
        <v>115.95167711503252</v>
      </c>
      <c r="U33" s="116"/>
      <c r="V33" s="291">
        <f>(V11/2*COS(RADIANS(V14))-V26)/SIN(RADIANS(V14))</f>
        <v>127.63245332532054</v>
      </c>
      <c r="W33" s="292"/>
      <c r="X33" s="117">
        <f>(X11/2*COS(RADIANS(X14))-X26)/SIN(RADIANS(X14))</f>
        <v>99.534759505390682</v>
      </c>
      <c r="Y33" s="118"/>
      <c r="Z33" s="293">
        <f>(Z11/2*COS(RADIANS(Z14))-Z26)/SIN(RADIANS(Z14))</f>
        <v>111.19160328026577</v>
      </c>
      <c r="AA33" s="294"/>
    </row>
    <row r="34" spans="2:27" ht="15" customHeight="1" thickBot="1" x14ac:dyDescent="0.3">
      <c r="B34" s="215" t="s">
        <v>347</v>
      </c>
      <c r="C34" s="38"/>
      <c r="D34" s="311" t="s">
        <v>342</v>
      </c>
      <c r="E34" s="312"/>
      <c r="F34" s="313"/>
      <c r="G34" s="119" t="s">
        <v>55</v>
      </c>
      <c r="H34" s="120" t="s">
        <v>77</v>
      </c>
      <c r="I34" s="121"/>
      <c r="J34" s="302" t="s">
        <v>77</v>
      </c>
      <c r="K34" s="303"/>
      <c r="L34" s="122" t="s">
        <v>77</v>
      </c>
      <c r="M34" s="123"/>
      <c r="N34" s="304" t="s">
        <v>77</v>
      </c>
      <c r="O34" s="305"/>
      <c r="P34" s="124" t="s">
        <v>77</v>
      </c>
      <c r="Q34" s="125"/>
      <c r="R34" s="306" t="s">
        <v>77</v>
      </c>
      <c r="S34" s="307"/>
      <c r="T34" s="126" t="s">
        <v>77</v>
      </c>
      <c r="U34" s="127"/>
      <c r="V34" s="266" t="s">
        <v>77</v>
      </c>
      <c r="W34" s="267"/>
      <c r="X34" s="128" t="s">
        <v>77</v>
      </c>
      <c r="Y34" s="129"/>
      <c r="Z34" s="268" t="s">
        <v>77</v>
      </c>
      <c r="AA34" s="269"/>
    </row>
    <row r="35" spans="2:27" ht="15" customHeight="1" x14ac:dyDescent="0.25">
      <c r="B35" s="217"/>
      <c r="C35" s="199" t="s">
        <v>343</v>
      </c>
      <c r="D35" s="314" t="s">
        <v>385</v>
      </c>
      <c r="E35" s="315"/>
      <c r="F35" s="316"/>
      <c r="G35" s="100" t="s">
        <v>358</v>
      </c>
      <c r="H35" s="80">
        <v>40</v>
      </c>
      <c r="I35" s="43"/>
      <c r="J35" s="205">
        <v>40</v>
      </c>
      <c r="K35" s="206"/>
      <c r="L35" s="15">
        <v>40</v>
      </c>
      <c r="M35" s="50"/>
      <c r="N35" s="207">
        <v>40</v>
      </c>
      <c r="O35" s="208"/>
      <c r="P35" s="20">
        <v>45</v>
      </c>
      <c r="Q35" s="58"/>
      <c r="R35" s="209">
        <v>45</v>
      </c>
      <c r="S35" s="210"/>
      <c r="T35" s="25">
        <v>40</v>
      </c>
      <c r="U35" s="66"/>
      <c r="V35" s="211">
        <v>40</v>
      </c>
      <c r="W35" s="212"/>
      <c r="X35" s="30">
        <v>50</v>
      </c>
      <c r="Y35" s="74"/>
      <c r="Z35" s="213">
        <v>50</v>
      </c>
      <c r="AA35" s="214"/>
    </row>
    <row r="36" spans="2:27" x14ac:dyDescent="0.25">
      <c r="B36" s="217"/>
      <c r="C36" s="200"/>
      <c r="D36" s="202" t="s">
        <v>386</v>
      </c>
      <c r="E36" s="203"/>
      <c r="F36" s="204"/>
      <c r="G36" s="101" t="s">
        <v>359</v>
      </c>
      <c r="H36" s="80">
        <v>0</v>
      </c>
      <c r="I36" s="43"/>
      <c r="J36" s="205">
        <v>0</v>
      </c>
      <c r="K36" s="206"/>
      <c r="L36" s="15">
        <v>0</v>
      </c>
      <c r="M36" s="50"/>
      <c r="N36" s="207">
        <v>0</v>
      </c>
      <c r="O36" s="208"/>
      <c r="P36" s="20">
        <v>0</v>
      </c>
      <c r="Q36" s="58"/>
      <c r="R36" s="209">
        <v>0</v>
      </c>
      <c r="S36" s="210"/>
      <c r="T36" s="25">
        <v>0</v>
      </c>
      <c r="U36" s="66"/>
      <c r="V36" s="211">
        <v>0</v>
      </c>
      <c r="W36" s="212"/>
      <c r="X36" s="30">
        <v>3</v>
      </c>
      <c r="Y36" s="74"/>
      <c r="Z36" s="213">
        <v>3</v>
      </c>
      <c r="AA36" s="214"/>
    </row>
    <row r="37" spans="2:27" x14ac:dyDescent="0.25">
      <c r="B37" s="217"/>
      <c r="C37" s="200"/>
      <c r="D37" s="202" t="s">
        <v>387</v>
      </c>
      <c r="E37" s="203"/>
      <c r="F37" s="204"/>
      <c r="G37" s="101" t="s">
        <v>358</v>
      </c>
      <c r="H37" s="80">
        <v>40</v>
      </c>
      <c r="I37" s="43"/>
      <c r="J37" s="205">
        <v>50</v>
      </c>
      <c r="K37" s="206"/>
      <c r="L37" s="15">
        <v>38</v>
      </c>
      <c r="M37" s="50"/>
      <c r="N37" s="207">
        <v>38</v>
      </c>
      <c r="O37" s="208"/>
      <c r="P37" s="20">
        <v>45</v>
      </c>
      <c r="Q37" s="58"/>
      <c r="R37" s="209">
        <v>45</v>
      </c>
      <c r="S37" s="210"/>
      <c r="T37" s="25">
        <v>41</v>
      </c>
      <c r="U37" s="66"/>
      <c r="V37" s="211">
        <v>41</v>
      </c>
      <c r="W37" s="212"/>
      <c r="X37" s="30">
        <v>57</v>
      </c>
      <c r="Y37" s="74"/>
      <c r="Z37" s="213">
        <v>57</v>
      </c>
      <c r="AA37" s="214"/>
    </row>
    <row r="38" spans="2:27" x14ac:dyDescent="0.25">
      <c r="B38" s="217"/>
      <c r="C38" s="200"/>
      <c r="D38" s="202" t="s">
        <v>388</v>
      </c>
      <c r="E38" s="203"/>
      <c r="F38" s="204"/>
      <c r="G38" s="101" t="s">
        <v>358</v>
      </c>
      <c r="H38" s="80">
        <v>20</v>
      </c>
      <c r="I38" s="43"/>
      <c r="J38" s="205">
        <v>20</v>
      </c>
      <c r="K38" s="206"/>
      <c r="L38" s="15">
        <v>25</v>
      </c>
      <c r="M38" s="50"/>
      <c r="N38" s="207">
        <v>25</v>
      </c>
      <c r="O38" s="208"/>
      <c r="P38" s="20">
        <v>12</v>
      </c>
      <c r="Q38" s="58"/>
      <c r="R38" s="209">
        <v>12</v>
      </c>
      <c r="S38" s="210"/>
      <c r="T38" s="25">
        <v>20</v>
      </c>
      <c r="U38" s="66"/>
      <c r="V38" s="211">
        <v>20</v>
      </c>
      <c r="W38" s="212"/>
      <c r="X38" s="30">
        <v>12</v>
      </c>
      <c r="Y38" s="74"/>
      <c r="Z38" s="213">
        <v>12</v>
      </c>
      <c r="AA38" s="214"/>
    </row>
    <row r="39" spans="2:27" x14ac:dyDescent="0.25">
      <c r="B39" s="217"/>
      <c r="C39" s="200"/>
      <c r="D39" s="202" t="s">
        <v>389</v>
      </c>
      <c r="E39" s="203"/>
      <c r="F39" s="204"/>
      <c r="G39" s="101" t="s">
        <v>359</v>
      </c>
      <c r="H39" s="80">
        <v>8</v>
      </c>
      <c r="I39" s="43"/>
      <c r="J39" s="205">
        <v>8</v>
      </c>
      <c r="K39" s="206"/>
      <c r="L39" s="15">
        <v>9</v>
      </c>
      <c r="M39" s="50"/>
      <c r="N39" s="207">
        <v>9</v>
      </c>
      <c r="O39" s="208"/>
      <c r="P39" s="20">
        <v>9</v>
      </c>
      <c r="Q39" s="58"/>
      <c r="R39" s="209">
        <v>9</v>
      </c>
      <c r="S39" s="210"/>
      <c r="T39" s="25">
        <v>9</v>
      </c>
      <c r="U39" s="66"/>
      <c r="V39" s="211">
        <v>9</v>
      </c>
      <c r="W39" s="212"/>
      <c r="X39" s="30">
        <v>9</v>
      </c>
      <c r="Y39" s="74"/>
      <c r="Z39" s="213">
        <v>9</v>
      </c>
      <c r="AA39" s="214"/>
    </row>
    <row r="40" spans="2:27" x14ac:dyDescent="0.25">
      <c r="B40" s="217"/>
      <c r="C40" s="200"/>
      <c r="D40" s="202" t="s">
        <v>390</v>
      </c>
      <c r="E40" s="203"/>
      <c r="F40" s="204"/>
      <c r="G40" s="101" t="s">
        <v>359</v>
      </c>
      <c r="H40" s="80">
        <v>5</v>
      </c>
      <c r="I40" s="43"/>
      <c r="J40" s="205">
        <v>5</v>
      </c>
      <c r="K40" s="206"/>
      <c r="L40" s="15">
        <v>6</v>
      </c>
      <c r="M40" s="50"/>
      <c r="N40" s="207">
        <v>6</v>
      </c>
      <c r="O40" s="208"/>
      <c r="P40" s="20">
        <v>6</v>
      </c>
      <c r="Q40" s="58"/>
      <c r="R40" s="209">
        <v>6</v>
      </c>
      <c r="S40" s="210"/>
      <c r="T40" s="25">
        <v>5</v>
      </c>
      <c r="U40" s="66"/>
      <c r="V40" s="211">
        <v>5</v>
      </c>
      <c r="W40" s="212"/>
      <c r="X40" s="30">
        <v>6</v>
      </c>
      <c r="Y40" s="74"/>
      <c r="Z40" s="213">
        <v>6</v>
      </c>
      <c r="AA40" s="214"/>
    </row>
    <row r="41" spans="2:27" x14ac:dyDescent="0.25">
      <c r="B41" s="217"/>
      <c r="C41" s="200"/>
      <c r="D41" s="202" t="s">
        <v>391</v>
      </c>
      <c r="E41" s="203"/>
      <c r="F41" s="204"/>
      <c r="G41" s="101" t="s">
        <v>359</v>
      </c>
      <c r="H41" s="80">
        <v>-15</v>
      </c>
      <c r="I41" s="43"/>
      <c r="J41" s="205">
        <v>-17</v>
      </c>
      <c r="K41" s="206"/>
      <c r="L41" s="15">
        <v>0</v>
      </c>
      <c r="M41" s="50"/>
      <c r="N41" s="207">
        <v>0</v>
      </c>
      <c r="O41" s="208"/>
      <c r="P41" s="20">
        <v>0</v>
      </c>
      <c r="Q41" s="58"/>
      <c r="R41" s="209">
        <v>0</v>
      </c>
      <c r="S41" s="210"/>
      <c r="T41" s="25">
        <v>0</v>
      </c>
      <c r="U41" s="66"/>
      <c r="V41" s="211">
        <v>0</v>
      </c>
      <c r="W41" s="212"/>
      <c r="X41" s="30">
        <v>0</v>
      </c>
      <c r="Y41" s="74"/>
      <c r="Z41" s="213">
        <v>0</v>
      </c>
      <c r="AA41" s="214"/>
    </row>
    <row r="42" spans="2:27" x14ac:dyDescent="0.25">
      <c r="B42" s="217"/>
      <c r="C42" s="200"/>
      <c r="D42" s="202" t="s">
        <v>392</v>
      </c>
      <c r="E42" s="203"/>
      <c r="F42" s="204"/>
      <c r="G42" s="101" t="s">
        <v>358</v>
      </c>
      <c r="H42" s="80">
        <v>280</v>
      </c>
      <c r="I42" s="43"/>
      <c r="J42" s="205">
        <v>280</v>
      </c>
      <c r="K42" s="206"/>
      <c r="L42" s="15">
        <v>240</v>
      </c>
      <c r="M42" s="50"/>
      <c r="N42" s="207">
        <v>240</v>
      </c>
      <c r="O42" s="208"/>
      <c r="P42" s="20">
        <v>240</v>
      </c>
      <c r="Q42" s="58"/>
      <c r="R42" s="209">
        <v>240</v>
      </c>
      <c r="S42" s="210"/>
      <c r="T42" s="25">
        <v>245</v>
      </c>
      <c r="U42" s="66"/>
      <c r="V42" s="211">
        <v>245</v>
      </c>
      <c r="W42" s="212"/>
      <c r="X42" s="30">
        <v>240</v>
      </c>
      <c r="Y42" s="74"/>
      <c r="Z42" s="213">
        <v>240</v>
      </c>
      <c r="AA42" s="214"/>
    </row>
    <row r="43" spans="2:27" x14ac:dyDescent="0.25">
      <c r="B43" s="217"/>
      <c r="C43" s="200"/>
      <c r="D43" s="202" t="s">
        <v>393</v>
      </c>
      <c r="E43" s="203"/>
      <c r="F43" s="204"/>
      <c r="G43" s="101" t="s">
        <v>358</v>
      </c>
      <c r="H43" s="80">
        <v>130</v>
      </c>
      <c r="I43" s="43"/>
      <c r="J43" s="205">
        <v>130</v>
      </c>
      <c r="K43" s="206"/>
      <c r="L43" s="15">
        <v>134</v>
      </c>
      <c r="M43" s="50"/>
      <c r="N43" s="207">
        <v>134</v>
      </c>
      <c r="O43" s="208"/>
      <c r="P43" s="20">
        <v>134</v>
      </c>
      <c r="Q43" s="58"/>
      <c r="R43" s="209">
        <v>134</v>
      </c>
      <c r="S43" s="210"/>
      <c r="T43" s="25">
        <v>134</v>
      </c>
      <c r="U43" s="66"/>
      <c r="V43" s="211">
        <v>134</v>
      </c>
      <c r="W43" s="212"/>
      <c r="X43" s="30">
        <v>134</v>
      </c>
      <c r="Y43" s="74"/>
      <c r="Z43" s="213">
        <v>134</v>
      </c>
      <c r="AA43" s="214"/>
    </row>
    <row r="44" spans="2:27" x14ac:dyDescent="0.25">
      <c r="B44" s="217"/>
      <c r="C44" s="200"/>
      <c r="D44" s="202" t="s">
        <v>460</v>
      </c>
      <c r="E44" s="203"/>
      <c r="F44" s="204"/>
      <c r="G44" s="101" t="s">
        <v>358</v>
      </c>
      <c r="H44" s="80">
        <v>30</v>
      </c>
      <c r="I44" s="43"/>
      <c r="J44" s="205">
        <v>30</v>
      </c>
      <c r="K44" s="206"/>
      <c r="L44" s="15">
        <v>30</v>
      </c>
      <c r="M44" s="50"/>
      <c r="N44" s="207">
        <v>30</v>
      </c>
      <c r="O44" s="208"/>
      <c r="P44" s="20">
        <v>30</v>
      </c>
      <c r="Q44" s="58"/>
      <c r="R44" s="209">
        <v>30</v>
      </c>
      <c r="S44" s="210"/>
      <c r="T44" s="25">
        <v>30</v>
      </c>
      <c r="U44" s="66"/>
      <c r="V44" s="211">
        <v>30</v>
      </c>
      <c r="W44" s="212"/>
      <c r="X44" s="30">
        <v>30</v>
      </c>
      <c r="Y44" s="74"/>
      <c r="Z44" s="213">
        <v>30</v>
      </c>
      <c r="AA44" s="214"/>
    </row>
    <row r="45" spans="2:27" ht="15.75" thickBot="1" x14ac:dyDescent="0.3">
      <c r="B45" s="217"/>
      <c r="C45" s="201"/>
      <c r="D45" s="202" t="s">
        <v>394</v>
      </c>
      <c r="E45" s="203"/>
      <c r="F45" s="204"/>
      <c r="G45" s="101" t="s">
        <v>358</v>
      </c>
      <c r="H45" s="80">
        <v>760</v>
      </c>
      <c r="I45" s="43"/>
      <c r="J45" s="205">
        <v>760</v>
      </c>
      <c r="K45" s="206"/>
      <c r="L45" s="15">
        <v>775</v>
      </c>
      <c r="M45" s="50"/>
      <c r="N45" s="207">
        <v>775</v>
      </c>
      <c r="O45" s="208"/>
      <c r="P45" s="20">
        <v>780</v>
      </c>
      <c r="Q45" s="58"/>
      <c r="R45" s="209">
        <v>780</v>
      </c>
      <c r="S45" s="210"/>
      <c r="T45" s="25">
        <v>790</v>
      </c>
      <c r="U45" s="66"/>
      <c r="V45" s="211">
        <v>790</v>
      </c>
      <c r="W45" s="212"/>
      <c r="X45" s="30">
        <v>774</v>
      </c>
      <c r="Y45" s="74"/>
      <c r="Z45" s="213">
        <v>774</v>
      </c>
      <c r="AA45" s="214"/>
    </row>
    <row r="46" spans="2:27" ht="15" customHeight="1" x14ac:dyDescent="0.25">
      <c r="B46" s="217"/>
      <c r="C46" s="299" t="s">
        <v>328</v>
      </c>
      <c r="D46" s="202" t="s">
        <v>395</v>
      </c>
      <c r="E46" s="203"/>
      <c r="F46" s="204"/>
      <c r="G46" s="101" t="s">
        <v>359</v>
      </c>
      <c r="H46" s="80">
        <v>71</v>
      </c>
      <c r="I46" s="43"/>
      <c r="J46" s="221">
        <f>H46-DEGREES('Background calcs'!I20)</f>
        <v>70.302741005319618</v>
      </c>
      <c r="K46" s="222"/>
      <c r="L46" s="15">
        <v>74.5</v>
      </c>
      <c r="M46" s="50"/>
      <c r="N46" s="246">
        <f>L46-DEGREES('Background calcs'!M20)</f>
        <v>74.5</v>
      </c>
      <c r="O46" s="247"/>
      <c r="P46" s="20">
        <v>71</v>
      </c>
      <c r="Q46" s="58"/>
      <c r="R46" s="262">
        <f>P46-DEGREES('Background calcs'!Q20)</f>
        <v>69.849176903666176</v>
      </c>
      <c r="S46" s="263"/>
      <c r="T46" s="25">
        <v>67.599999999999994</v>
      </c>
      <c r="U46" s="66"/>
      <c r="V46" s="244">
        <f>T46-DEGREES('Background calcs'!U20)</f>
        <v>68.032560924434662</v>
      </c>
      <c r="W46" s="245"/>
      <c r="X46" s="30">
        <v>72</v>
      </c>
      <c r="Y46" s="74"/>
      <c r="Z46" s="284">
        <f>X46-DEGREES('Background calcs'!Y20)</f>
        <v>72.43505043819161</v>
      </c>
      <c r="AA46" s="285"/>
    </row>
    <row r="47" spans="2:27" x14ac:dyDescent="0.25">
      <c r="B47" s="217"/>
      <c r="C47" s="300"/>
      <c r="D47" s="202" t="s">
        <v>396</v>
      </c>
      <c r="E47" s="203"/>
      <c r="F47" s="204"/>
      <c r="G47" s="101" t="s">
        <v>358</v>
      </c>
      <c r="H47" s="80">
        <v>720</v>
      </c>
      <c r="I47" s="43"/>
      <c r="J47" s="205">
        <v>720</v>
      </c>
      <c r="K47" s="206"/>
      <c r="L47" s="15">
        <v>715</v>
      </c>
      <c r="M47" s="50"/>
      <c r="N47" s="207">
        <v>715</v>
      </c>
      <c r="O47" s="208"/>
      <c r="P47" s="20">
        <v>740</v>
      </c>
      <c r="Q47" s="58"/>
      <c r="R47" s="209">
        <v>740</v>
      </c>
      <c r="S47" s="210"/>
      <c r="T47" s="25">
        <v>725</v>
      </c>
      <c r="U47" s="66"/>
      <c r="V47" s="211">
        <v>725</v>
      </c>
      <c r="W47" s="212"/>
      <c r="X47" s="30">
        <v>745</v>
      </c>
      <c r="Y47" s="74"/>
      <c r="Z47" s="213">
        <v>745</v>
      </c>
      <c r="AA47" s="214"/>
    </row>
    <row r="48" spans="2:27" x14ac:dyDescent="0.25">
      <c r="B48" s="217"/>
      <c r="C48" s="300"/>
      <c r="D48" s="202" t="s">
        <v>397</v>
      </c>
      <c r="E48" s="203"/>
      <c r="F48" s="204"/>
      <c r="G48" s="101" t="s">
        <v>358</v>
      </c>
      <c r="H48" s="80">
        <v>20</v>
      </c>
      <c r="I48" s="43"/>
      <c r="J48" s="205">
        <v>20</v>
      </c>
      <c r="K48" s="206"/>
      <c r="L48" s="15">
        <v>0</v>
      </c>
      <c r="M48" s="50"/>
      <c r="N48" s="207">
        <v>0</v>
      </c>
      <c r="O48" s="208"/>
      <c r="P48" s="20">
        <v>0</v>
      </c>
      <c r="Q48" s="58"/>
      <c r="R48" s="209">
        <v>0</v>
      </c>
      <c r="S48" s="210"/>
      <c r="T48" s="25">
        <v>10</v>
      </c>
      <c r="U48" s="66"/>
      <c r="V48" s="211">
        <v>10</v>
      </c>
      <c r="W48" s="212"/>
      <c r="X48" s="30">
        <v>0</v>
      </c>
      <c r="Y48" s="74"/>
      <c r="Z48" s="213">
        <v>0</v>
      </c>
      <c r="AA48" s="214"/>
    </row>
    <row r="49" spans="2:27" ht="15.75" thickBot="1" x14ac:dyDescent="0.3">
      <c r="B49" s="217"/>
      <c r="C49" s="301"/>
      <c r="D49" s="202" t="s">
        <v>398</v>
      </c>
      <c r="E49" s="203"/>
      <c r="F49" s="204"/>
      <c r="G49" s="101" t="s">
        <v>358</v>
      </c>
      <c r="H49" s="80">
        <v>170</v>
      </c>
      <c r="I49" s="43"/>
      <c r="J49" s="205">
        <v>170</v>
      </c>
      <c r="K49" s="206"/>
      <c r="L49" s="15">
        <v>170</v>
      </c>
      <c r="M49" s="50"/>
      <c r="N49" s="207">
        <v>170</v>
      </c>
      <c r="O49" s="208"/>
      <c r="P49" s="20">
        <v>165</v>
      </c>
      <c r="Q49" s="58"/>
      <c r="R49" s="209">
        <v>165</v>
      </c>
      <c r="S49" s="210"/>
      <c r="T49" s="25">
        <v>175</v>
      </c>
      <c r="U49" s="66"/>
      <c r="V49" s="211">
        <v>175</v>
      </c>
      <c r="W49" s="212"/>
      <c r="X49" s="30">
        <v>175</v>
      </c>
      <c r="Y49" s="74"/>
      <c r="Z49" s="213">
        <v>175</v>
      </c>
      <c r="AA49" s="214"/>
    </row>
    <row r="50" spans="2:27" x14ac:dyDescent="0.25">
      <c r="B50" s="217"/>
      <c r="C50" s="299" t="s">
        <v>329</v>
      </c>
      <c r="D50" s="202" t="s">
        <v>399</v>
      </c>
      <c r="E50" s="203"/>
      <c r="F50" s="204"/>
      <c r="G50" s="101" t="s">
        <v>358</v>
      </c>
      <c r="H50" s="82">
        <f>'Background calcs'!H40-'Background calcs'!H6</f>
        <v>435.06405126710399</v>
      </c>
      <c r="I50" s="34"/>
      <c r="J50" s="221">
        <f>'Background calcs'!J40-'Background calcs'!J6</f>
        <v>415.37190441926225</v>
      </c>
      <c r="K50" s="222"/>
      <c r="L50" s="16">
        <f>'Background calcs'!L40-'Background calcs'!L6</f>
        <v>463.27790991893659</v>
      </c>
      <c r="M50" s="51"/>
      <c r="N50" s="246">
        <f>'Background calcs'!N40-'Background calcs'!N6</f>
        <v>463.27790991893659</v>
      </c>
      <c r="O50" s="247"/>
      <c r="P50" s="21">
        <f>'Background calcs'!P40-'Background calcs'!P6</f>
        <v>447.95106913540667</v>
      </c>
      <c r="Q50" s="59"/>
      <c r="R50" s="262">
        <f>'Background calcs'!R40-'Background calcs'!R6</f>
        <v>429.72260359492867</v>
      </c>
      <c r="S50" s="263"/>
      <c r="T50" s="26">
        <f>'Background calcs'!T40-'Background calcs'!T6</f>
        <v>454.59431627787234</v>
      </c>
      <c r="U50" s="67"/>
      <c r="V50" s="244">
        <f>'Background calcs'!V40-'Background calcs'!V6</f>
        <v>454.20249054295522</v>
      </c>
      <c r="W50" s="245"/>
      <c r="X50" s="31">
        <f>'Background calcs'!X40-'Background calcs'!X6</f>
        <v>412.04790591074283</v>
      </c>
      <c r="Y50" s="75"/>
      <c r="Z50" s="284">
        <f>'Background calcs'!Z40-'Background calcs'!Z6</f>
        <v>410.51509546798246</v>
      </c>
      <c r="AA50" s="285"/>
    </row>
    <row r="51" spans="2:27" x14ac:dyDescent="0.25">
      <c r="B51" s="217"/>
      <c r="C51" s="300"/>
      <c r="D51" s="202" t="s">
        <v>400</v>
      </c>
      <c r="E51" s="203"/>
      <c r="F51" s="204"/>
      <c r="G51" s="101" t="s">
        <v>358</v>
      </c>
      <c r="H51" s="82">
        <f>'Background calcs'!H41-'Background calcs'!H7</f>
        <v>710.02738845573526</v>
      </c>
      <c r="I51" s="34"/>
      <c r="J51" s="221">
        <f>'Background calcs'!J41-'Background calcs'!J7</f>
        <v>721.93792048199543</v>
      </c>
      <c r="K51" s="222"/>
      <c r="L51" s="16">
        <f>'Background calcs'!L41-'Background calcs'!L7</f>
        <v>733.42785052232477</v>
      </c>
      <c r="M51" s="51"/>
      <c r="N51" s="246">
        <f>'Background calcs'!N41-'Background calcs'!N7</f>
        <v>733.42785052232477</v>
      </c>
      <c r="O51" s="247"/>
      <c r="P51" s="21">
        <f>'Background calcs'!P41-'Background calcs'!P7</f>
        <v>711.66399430452566</v>
      </c>
      <c r="Q51" s="59"/>
      <c r="R51" s="262">
        <f>'Background calcs'!R41-'Background calcs'!R7</f>
        <v>720.42820023568606</v>
      </c>
      <c r="S51" s="263"/>
      <c r="T51" s="26">
        <f>'Background calcs'!T41-'Background calcs'!T7</f>
        <v>702.06314801588314</v>
      </c>
      <c r="U51" s="67"/>
      <c r="V51" s="244">
        <f>'Background calcs'!V41-'Background calcs'!V7</f>
        <v>697.58888231256378</v>
      </c>
      <c r="W51" s="245"/>
      <c r="X51" s="31">
        <f>'Background calcs'!X41-'Background calcs'!X7</f>
        <v>727.06381694264599</v>
      </c>
      <c r="Y51" s="75"/>
      <c r="Z51" s="284">
        <f>'Background calcs'!Z41-'Background calcs'!Z7</f>
        <v>722.85300777082523</v>
      </c>
      <c r="AA51" s="285"/>
    </row>
    <row r="52" spans="2:27" x14ac:dyDescent="0.25">
      <c r="B52" s="217"/>
      <c r="C52" s="300"/>
      <c r="D52" s="202" t="s">
        <v>401</v>
      </c>
      <c r="E52" s="203"/>
      <c r="F52" s="204"/>
      <c r="G52" s="101" t="s">
        <v>359</v>
      </c>
      <c r="H52" s="82">
        <f>IF('Background calcs'!H46&lt;='Background calcs'!H6,ABS(DEGREES(ATAN(('Background calcs'!H47-'Background calcs'!H7)/('Background calcs'!H46-'Background calcs'!H6)))),180-ABS(DEGREES(ATAN(('Background calcs'!H47-'Background calcs'!H7)/('Background calcs'!H46-'Background calcs'!H6)))))</f>
        <v>74.477870947501685</v>
      </c>
      <c r="I52" s="34"/>
      <c r="J52" s="221">
        <f>IF('Background calcs'!J46&lt;='Background calcs'!J6,ABS(DEGREES(ATAN(('Background calcs'!J47-'Background calcs'!J7)/('Background calcs'!J46-'Background calcs'!J6)))),180-ABS(DEGREES(ATAN(('Background calcs'!J47-'Background calcs'!J7)/('Background calcs'!J46-'Background calcs'!J6)))))</f>
        <v>73.78586962897711</v>
      </c>
      <c r="K52" s="222"/>
      <c r="L52" s="16">
        <f>IF('Background calcs'!L46&lt;='Background calcs'!L6,ABS(DEGREES(ATAN(('Background calcs'!L47-'Background calcs'!L7)/('Background calcs'!L46-'Background calcs'!L6)))),180-ABS(DEGREES(ATAN(('Background calcs'!L47-'Background calcs'!L7)/('Background calcs'!L46-'Background calcs'!L6)))))</f>
        <v>76.246977341544749</v>
      </c>
      <c r="M52" s="51"/>
      <c r="N52" s="246">
        <f>IF('Background calcs'!N46&lt;='Background calcs'!N6,ABS(DEGREES(ATAN(('Background calcs'!N47-'Background calcs'!N7)/('Background calcs'!N46-'Background calcs'!N6)))),180-ABS(DEGREES(ATAN(('Background calcs'!N47-'Background calcs'!N7)/('Background calcs'!N46-'Background calcs'!N6)))))</f>
        <v>76.246977341544749</v>
      </c>
      <c r="O52" s="247"/>
      <c r="P52" s="21">
        <f>IF('Background calcs'!P46&lt;='Background calcs'!P6,ABS(DEGREES(ATAN(('Background calcs'!P47-'Background calcs'!P7)/('Background calcs'!P46-'Background calcs'!P6)))),180-ABS(DEGREES(ATAN(('Background calcs'!P47-'Background calcs'!P7)/('Background calcs'!P46-'Background calcs'!P6)))))</f>
        <v>74.48568090099451</v>
      </c>
      <c r="Q52" s="59"/>
      <c r="R52" s="262">
        <f>IF('Background calcs'!R46&lt;='Background calcs'!R6,ABS(DEGREES(ATAN(('Background calcs'!R47-'Background calcs'!R7)/('Background calcs'!R46-'Background calcs'!R6)))),180-ABS(DEGREES(ATAN(('Background calcs'!R47-'Background calcs'!R7)/('Background calcs'!R46-'Background calcs'!R6)))))</f>
        <v>73.334857804660672</v>
      </c>
      <c r="S52" s="263"/>
      <c r="T52" s="26">
        <f>IF('Background calcs'!T46&lt;='Background calcs'!T6,ABS(DEGREES(ATAN(('Background calcs'!T47-'Background calcs'!T7)/('Background calcs'!T46-'Background calcs'!T6)))),180-ABS(DEGREES(ATAN(('Background calcs'!T47-'Background calcs'!T7)/('Background calcs'!T46-'Background calcs'!T6)))))</f>
        <v>72.895523413365197</v>
      </c>
      <c r="U52" s="67"/>
      <c r="V52" s="244">
        <f>IF('Background calcs'!V46&lt;='Background calcs'!V6,ABS(DEGREES(ATAN(('Background calcs'!V47-'Background calcs'!V7)/('Background calcs'!V46-'Background calcs'!V6)))),180-ABS(DEGREES(ATAN(('Background calcs'!V47-'Background calcs'!V7)/('Background calcs'!V46-'Background calcs'!V6)))))</f>
        <v>73.326357767006243</v>
      </c>
      <c r="W52" s="245"/>
      <c r="X52" s="31">
        <f>IF('Background calcs'!X46&lt;='Background calcs'!X6,ABS(DEGREES(ATAN(('Background calcs'!X47-'Background calcs'!X7)/('Background calcs'!X46-'Background calcs'!X6)))),180-ABS(DEGREES(ATAN(('Background calcs'!X47-'Background calcs'!X7)/('Background calcs'!X46-'Background calcs'!X6)))))</f>
        <v>74.596925558487669</v>
      </c>
      <c r="Y52" s="75"/>
      <c r="Z52" s="284">
        <f>IF('Background calcs'!Z46&lt;='Background calcs'!Z6,ABS(DEGREES(ATAN(('Background calcs'!Z47-'Background calcs'!Z7)/('Background calcs'!Z46-'Background calcs'!Z6)))),180-ABS(DEGREES(ATAN(('Background calcs'!Z47-'Background calcs'!Z7)/('Background calcs'!Z46-'Background calcs'!Z6)))))</f>
        <v>75.031975996679307</v>
      </c>
      <c r="AA52" s="285"/>
    </row>
    <row r="53" spans="2:27" x14ac:dyDescent="0.25">
      <c r="B53" s="217"/>
      <c r="C53" s="300"/>
      <c r="D53" s="202" t="s">
        <v>402</v>
      </c>
      <c r="E53" s="203"/>
      <c r="F53" s="204"/>
      <c r="G53" s="101" t="s">
        <v>358</v>
      </c>
      <c r="H53" s="82">
        <f>SQRT(('Background calcs'!H46-'Background calcs'!H40)^2+('Background calcs'!H47-'Background calcs'!H41)^2)</f>
        <v>629.20982582837951</v>
      </c>
      <c r="I53" s="34"/>
      <c r="J53" s="221">
        <f>SQRT(('Background calcs'!J46-'Background calcs'!J40)^2+('Background calcs'!J47-'Background calcs'!J41)^2)</f>
        <v>618.4281323211502</v>
      </c>
      <c r="K53" s="222"/>
      <c r="L53" s="16">
        <f>SQRT(('Background calcs'!L46-'Background calcs'!L40)^2+('Background calcs'!L47-'Background calcs'!L41)^2)</f>
        <v>634.45528525637849</v>
      </c>
      <c r="M53" s="51"/>
      <c r="N53" s="246">
        <f>SQRT(('Background calcs'!N46-'Background calcs'!N40)^2+('Background calcs'!N47-'Background calcs'!N41)^2)</f>
        <v>634.45528525637849</v>
      </c>
      <c r="O53" s="247"/>
      <c r="P53" s="21">
        <f>SQRT(('Background calcs'!P46-'Background calcs'!P40)^2+('Background calcs'!P47-'Background calcs'!P41)^2)</f>
        <v>645.8871321190644</v>
      </c>
      <c r="Q53" s="59"/>
      <c r="R53" s="262">
        <f>SQRT(('Background calcs'!R46-'Background calcs'!R40)^2+('Background calcs'!R47-'Background calcs'!R41)^2)</f>
        <v>642.041318603626</v>
      </c>
      <c r="S53" s="263"/>
      <c r="T53" s="26">
        <f>SQRT(('Background calcs'!T46-'Background calcs'!T40)^2+('Background calcs'!T47-'Background calcs'!T41)^2)</f>
        <v>668.70462541340453</v>
      </c>
      <c r="U53" s="67"/>
      <c r="V53" s="244">
        <f>SQRT(('Background calcs'!V46-'Background calcs'!V40)^2+('Background calcs'!V47-'Background calcs'!V41)^2)</f>
        <v>663.02457269749743</v>
      </c>
      <c r="W53" s="245"/>
      <c r="X53" s="31">
        <f>SQRT(('Background calcs'!X46-'Background calcs'!X40)^2+('Background calcs'!X47-'Background calcs'!X41)^2)</f>
        <v>609.98957112928326</v>
      </c>
      <c r="Y53" s="75"/>
      <c r="Z53" s="284">
        <f>SQRT(('Background calcs'!Z46-'Background calcs'!Z40)^2+('Background calcs'!Z47-'Background calcs'!Z41)^2)</f>
        <v>602.94177514270598</v>
      </c>
      <c r="AA53" s="285"/>
    </row>
    <row r="54" spans="2:27" x14ac:dyDescent="0.25">
      <c r="B54" s="217"/>
      <c r="C54" s="300"/>
      <c r="D54" s="202" t="s">
        <v>403</v>
      </c>
      <c r="E54" s="203"/>
      <c r="F54" s="204"/>
      <c r="G54" s="101" t="s">
        <v>358</v>
      </c>
      <c r="H54" s="82">
        <f>SQRT(('Background calcs'!H46-'Background calcs'!H6)^2+('Background calcs'!H47-('Background calcs'!H7-H49))^2)</f>
        <v>890.05732817661169</v>
      </c>
      <c r="I54" s="34"/>
      <c r="J54" s="221">
        <f>SQRT(('Background calcs'!J46-'Background calcs'!J6)^2+('Background calcs'!J47-('Background calcs'!J7-J49))^2)</f>
        <v>889.83364521676754</v>
      </c>
      <c r="K54" s="222"/>
      <c r="L54" s="16">
        <f>SQRT(('Background calcs'!L46-'Background calcs'!L6)^2+('Background calcs'!L47-('Background calcs'!L7-L49))^2)</f>
        <v>881.05346521272349</v>
      </c>
      <c r="M54" s="51"/>
      <c r="N54" s="246">
        <f>SQRT(('Background calcs'!N46-'Background calcs'!N6)^2+('Background calcs'!N47-('Background calcs'!N7-N49))^2)</f>
        <v>881.05346521272349</v>
      </c>
      <c r="O54" s="247"/>
      <c r="P54" s="21">
        <f>SQRT(('Background calcs'!P46-'Background calcs'!P6)^2+('Background calcs'!P47-('Background calcs'!P7-P49))^2)</f>
        <v>900.0706860805717</v>
      </c>
      <c r="Q54" s="59"/>
      <c r="R54" s="262">
        <f>SQRT(('Background calcs'!R46-'Background calcs'!R6)^2+('Background calcs'!R47-('Background calcs'!R7-R49))^2)</f>
        <v>899.3152407868298</v>
      </c>
      <c r="S54" s="263"/>
      <c r="T54" s="26">
        <f>SQRT(('Background calcs'!T46-'Background calcs'!T6)^2+('Background calcs'!T47-('Background calcs'!T7-T49))^2)</f>
        <v>896.61644048334142</v>
      </c>
      <c r="U54" s="67"/>
      <c r="V54" s="244">
        <f>SQRT(('Background calcs'!V46-'Background calcs'!V6)^2+('Background calcs'!V47-('Background calcs'!V7-V49))^2)</f>
        <v>896.8546105056696</v>
      </c>
      <c r="W54" s="245"/>
      <c r="X54" s="31">
        <f>SQRT(('Background calcs'!X46-'Background calcs'!X6)^2+('Background calcs'!X47-('Background calcs'!X7-X49))^2)</f>
        <v>914.8957103039379</v>
      </c>
      <c r="Y54" s="75"/>
      <c r="Z54" s="284">
        <f>SQRT(('Background calcs'!Z46-'Background calcs'!Z6)^2+('Background calcs'!Z47-('Background calcs'!Z7-Z49))^2)</f>
        <v>915.17909919054364</v>
      </c>
      <c r="AA54" s="285"/>
    </row>
    <row r="55" spans="2:27" ht="17.25" x14ac:dyDescent="0.25">
      <c r="B55" s="217"/>
      <c r="C55" s="300"/>
      <c r="D55" s="202" t="s">
        <v>463</v>
      </c>
      <c r="E55" s="203"/>
      <c r="F55" s="204"/>
      <c r="G55" s="101" t="s">
        <v>358</v>
      </c>
      <c r="H55" s="82">
        <f>SQRT(('Background calcs'!H40+H44/2-'Background calcs'!H6)^2+('Background calcs'!H41-'Background calcs'!H7)^2)</f>
        <v>840.65245054078673</v>
      </c>
      <c r="I55" s="34"/>
      <c r="J55" s="221">
        <f>SQRT(('Background calcs'!J40+J44/2-'Background calcs'!J6)^2+('Background calcs'!J41-'Background calcs'!J7)^2)</f>
        <v>840.48458471487186</v>
      </c>
      <c r="K55" s="222"/>
      <c r="L55" s="16">
        <f>SQRT(('Background calcs'!L40+L44/2-'Background calcs'!L6)^2+('Background calcs'!L41-'Background calcs'!L7)^2)</f>
        <v>875.59475274708223</v>
      </c>
      <c r="M55" s="51"/>
      <c r="N55" s="246">
        <f>SQRT(('Background calcs'!N40+N44/2-'Background calcs'!N6)^2+('Background calcs'!N41-'Background calcs'!N7)^2)</f>
        <v>875.59475274708223</v>
      </c>
      <c r="O55" s="247"/>
      <c r="P55" s="21">
        <f>SQRT(('Background calcs'!P40+P44/2-'Background calcs'!P6)^2+('Background calcs'!P41-'Background calcs'!P7)^2)</f>
        <v>848.99312906706609</v>
      </c>
      <c r="Q55" s="59"/>
      <c r="R55" s="262">
        <f>SQRT(('Background calcs'!R40+R44/2-'Background calcs'!R6)^2+('Background calcs'!R41-'Background calcs'!R7)^2)</f>
        <v>846.63745832740108</v>
      </c>
      <c r="S55" s="263"/>
      <c r="T55" s="26">
        <f>SQRT(('Background calcs'!T40+T44/2-'Background calcs'!T6)^2+('Background calcs'!T41-'Background calcs'!T7)^2)</f>
        <v>844.63689576199204</v>
      </c>
      <c r="U55" s="67"/>
      <c r="V55" s="244">
        <f>SQRT(('Background calcs'!V40+V44/2-'Background calcs'!V6)^2+('Background calcs'!V41-'Background calcs'!V7)^2)</f>
        <v>840.70281661108049</v>
      </c>
      <c r="W55" s="245"/>
      <c r="X55" s="31">
        <f>SQRT(('Background calcs'!X40+X44/2-'Background calcs'!X6)^2+('Background calcs'!X41-'Background calcs'!X7)^2)</f>
        <v>843.20324231466293</v>
      </c>
      <c r="Y55" s="75"/>
      <c r="Z55" s="284">
        <f>SQRT(('Background calcs'!Z40+Z44/2-'Background calcs'!Z6)^2+('Background calcs'!Z41-'Background calcs'!Z7)^2)</f>
        <v>838.79649934561303</v>
      </c>
      <c r="AA55" s="285"/>
    </row>
    <row r="56" spans="2:27" ht="17.25" x14ac:dyDescent="0.25">
      <c r="B56" s="217"/>
      <c r="C56" s="300"/>
      <c r="D56" s="202" t="s">
        <v>464</v>
      </c>
      <c r="E56" s="203"/>
      <c r="F56" s="204"/>
      <c r="G56" s="101" t="s">
        <v>359</v>
      </c>
      <c r="H56" s="82">
        <f>DEGREES(ATAN(('Background calcs'!H41+H44/2-'Background calcs'!H7)/('Background calcs'!H40-'Background calcs'!H6)))</f>
        <v>59.033476592257912</v>
      </c>
      <c r="I56" s="34"/>
      <c r="J56" s="221">
        <f>DEGREES(ATAN(('Background calcs'!J41+J44/2-'Background calcs'!J7)/('Background calcs'!J40-'Background calcs'!J6)))</f>
        <v>60.592404127963789</v>
      </c>
      <c r="K56" s="222"/>
      <c r="L56" s="16">
        <f>DEGREES(ATAN(('Background calcs'!L41+L44/2-'Background calcs'!L7)/('Background calcs'!L40-'Background calcs'!L6)))</f>
        <v>58.242433188162408</v>
      </c>
      <c r="M56" s="51"/>
      <c r="N56" s="246">
        <f>DEGREES(ATAN(('Background calcs'!N41+N44/2-'Background calcs'!N7)/('Background calcs'!N40-'Background calcs'!N6)))</f>
        <v>58.242433188162408</v>
      </c>
      <c r="O56" s="247"/>
      <c r="P56" s="21">
        <f>DEGREES(ATAN(('Background calcs'!P41+P44/2-'Background calcs'!P7)/('Background calcs'!P40-'Background calcs'!P6)))</f>
        <v>58.348297965393449</v>
      </c>
      <c r="Q56" s="59"/>
      <c r="R56" s="262">
        <f>DEGREES(ATAN(('Background calcs'!R41+R44/2-'Background calcs'!R7)/('Background calcs'!R40-'Background calcs'!R6)))</f>
        <v>59.701564512930624</v>
      </c>
      <c r="S56" s="263"/>
      <c r="T56" s="26">
        <f>DEGREES(ATAN(('Background calcs'!T41+T44/2-'Background calcs'!T7)/('Background calcs'!T40-'Background calcs'!T6)))</f>
        <v>57.626654545923046</v>
      </c>
      <c r="U56" s="67"/>
      <c r="V56" s="244">
        <f>DEGREES(ATAN(('Background calcs'!V41+V44/2-'Background calcs'!V7)/('Background calcs'!V40-'Background calcs'!V6)))</f>
        <v>57.486658569407432</v>
      </c>
      <c r="W56" s="245"/>
      <c r="X56" s="31">
        <f>DEGREES(ATAN(('Background calcs'!X41+X44/2-'Background calcs'!X7)/('Background calcs'!X40-'Background calcs'!X6)))</f>
        <v>60.957774068908243</v>
      </c>
      <c r="Y56" s="75"/>
      <c r="Z56" s="284">
        <f>DEGREES(ATAN(('Background calcs'!Z41+Z44/2-'Background calcs'!Z7)/('Background calcs'!Z40-'Background calcs'!Z6)))</f>
        <v>60.909997723060883</v>
      </c>
      <c r="AA56" s="285"/>
    </row>
    <row r="57" spans="2:27" ht="15.75" thickBot="1" x14ac:dyDescent="0.3">
      <c r="B57" s="84"/>
      <c r="C57" s="301"/>
      <c r="D57" s="308" t="s">
        <v>406</v>
      </c>
      <c r="E57" s="309"/>
      <c r="F57" s="310"/>
      <c r="G57" s="102" t="s">
        <v>358</v>
      </c>
      <c r="H57" s="82">
        <f>'Background calcs'!H40-'Background calcs'!H45</f>
        <v>19.66608410431536</v>
      </c>
      <c r="I57" s="34"/>
      <c r="J57" s="221">
        <f>'Background calcs'!J40-'Background calcs'!J45</f>
        <v>20.743277942671739</v>
      </c>
      <c r="K57" s="222"/>
      <c r="L57" s="16">
        <f>'Background calcs'!L40-'Background calcs'!L45</f>
        <v>37.310339760612237</v>
      </c>
      <c r="M57" s="51"/>
      <c r="N57" s="246">
        <f>'Background calcs'!N40-'Background calcs'!N45</f>
        <v>37.310339760612237</v>
      </c>
      <c r="O57" s="247"/>
      <c r="P57" s="21">
        <f>'Background calcs'!P40-'Background calcs'!P45</f>
        <v>33.773648121734027</v>
      </c>
      <c r="Q57" s="59"/>
      <c r="R57" s="262">
        <f>'Background calcs'!R40-'Background calcs'!R45</f>
        <v>36.402873089611489</v>
      </c>
      <c r="S57" s="263"/>
      <c r="T57" s="26">
        <f>'Background calcs'!T40-'Background calcs'!T45</f>
        <v>31.32007518815567</v>
      </c>
      <c r="U57" s="67"/>
      <c r="V57" s="244">
        <f>'Background calcs'!V40-'Background calcs'!V45</f>
        <v>33.031248545291419</v>
      </c>
      <c r="W57" s="245"/>
      <c r="X57" s="31">
        <f>'Background calcs'!X40-'Background calcs'!X45</f>
        <v>39.092417116080583</v>
      </c>
      <c r="Y57" s="75"/>
      <c r="Z57" s="284">
        <f>'Background calcs'!Z40-'Background calcs'!Z45</f>
        <v>40.680526729425196</v>
      </c>
      <c r="AA57" s="285"/>
    </row>
    <row r="58" spans="2:27" ht="15.75" thickBot="1" x14ac:dyDescent="0.3">
      <c r="D58" s="227" t="s">
        <v>485</v>
      </c>
      <c r="E58" s="228"/>
      <c r="F58" s="229"/>
      <c r="G58" s="157" t="s">
        <v>55</v>
      </c>
      <c r="H58" s="83" t="s">
        <v>77</v>
      </c>
      <c r="I58" s="43"/>
      <c r="J58" s="254" t="s">
        <v>77</v>
      </c>
      <c r="K58" s="255"/>
      <c r="L58" s="17" t="s">
        <v>56</v>
      </c>
      <c r="M58" s="54"/>
      <c r="N58" s="258" t="s">
        <v>56</v>
      </c>
      <c r="O58" s="259"/>
      <c r="P58" s="22" t="s">
        <v>56</v>
      </c>
      <c r="Q58" s="62"/>
      <c r="R58" s="270" t="s">
        <v>56</v>
      </c>
      <c r="S58" s="271"/>
      <c r="T58" s="27" t="s">
        <v>56</v>
      </c>
      <c r="U58" s="70"/>
      <c r="V58" s="282" t="s">
        <v>56</v>
      </c>
      <c r="W58" s="283"/>
      <c r="X58" s="32" t="s">
        <v>56</v>
      </c>
      <c r="Y58" s="78"/>
      <c r="Z58" s="297" t="s">
        <v>56</v>
      </c>
      <c r="AA58" s="298"/>
    </row>
    <row r="59" spans="2:27" ht="15.75" thickBot="1" x14ac:dyDescent="0.3"/>
    <row r="60" spans="2:27" ht="16.5" thickTop="1" thickBot="1" x14ac:dyDescent="0.3">
      <c r="D60" s="91" t="s">
        <v>344</v>
      </c>
      <c r="E60" s="92" t="s">
        <v>81</v>
      </c>
      <c r="F60" s="93"/>
      <c r="G60" s="104"/>
      <c r="I60" s="46"/>
    </row>
    <row r="61" spans="2:27" ht="15.75" thickTop="1" x14ac:dyDescent="0.25"/>
  </sheetData>
  <sheetProtection sheet="1" selectLockedCells="1"/>
  <mergeCells count="321">
    <mergeCell ref="D3:F4"/>
    <mergeCell ref="D22:F22"/>
    <mergeCell ref="D23:F23"/>
    <mergeCell ref="D50:F50"/>
    <mergeCell ref="D51:F51"/>
    <mergeCell ref="D52:F52"/>
    <mergeCell ref="D53:F53"/>
    <mergeCell ref="D54:F54"/>
    <mergeCell ref="D55:F55"/>
    <mergeCell ref="D41:F41"/>
    <mergeCell ref="D42:F42"/>
    <mergeCell ref="D43:F43"/>
    <mergeCell ref="D46:F46"/>
    <mergeCell ref="D47:F47"/>
    <mergeCell ref="D48:F48"/>
    <mergeCell ref="E6:F6"/>
    <mergeCell ref="E7:F7"/>
    <mergeCell ref="E8:F8"/>
    <mergeCell ref="D9:F9"/>
    <mergeCell ref="D10:F10"/>
    <mergeCell ref="D11:F11"/>
    <mergeCell ref="D12:F12"/>
    <mergeCell ref="D13:F13"/>
    <mergeCell ref="D14:F14"/>
    <mergeCell ref="R23:S23"/>
    <mergeCell ref="R22:S22"/>
    <mergeCell ref="N23:O23"/>
    <mergeCell ref="N22:O22"/>
    <mergeCell ref="J22:K22"/>
    <mergeCell ref="J23:K23"/>
    <mergeCell ref="C46:C49"/>
    <mergeCell ref="C50:C57"/>
    <mergeCell ref="J34:K34"/>
    <mergeCell ref="N34:O34"/>
    <mergeCell ref="R34:S34"/>
    <mergeCell ref="D56:F56"/>
    <mergeCell ref="D57:F57"/>
    <mergeCell ref="D49:F49"/>
    <mergeCell ref="D45:F45"/>
    <mergeCell ref="D33:F33"/>
    <mergeCell ref="D34:F34"/>
    <mergeCell ref="D35:F35"/>
    <mergeCell ref="D36:F36"/>
    <mergeCell ref="D37:F37"/>
    <mergeCell ref="D38:F38"/>
    <mergeCell ref="D39:F39"/>
    <mergeCell ref="D40:F40"/>
    <mergeCell ref="D26:F26"/>
    <mergeCell ref="D15:F15"/>
    <mergeCell ref="D16:F16"/>
    <mergeCell ref="D17:F17"/>
    <mergeCell ref="D18:F18"/>
    <mergeCell ref="D19:F19"/>
    <mergeCell ref="D20:F20"/>
    <mergeCell ref="D21:F21"/>
    <mergeCell ref="D24:F24"/>
    <mergeCell ref="D25:F25"/>
    <mergeCell ref="D27:F27"/>
    <mergeCell ref="D28:F28"/>
    <mergeCell ref="D29:F29"/>
    <mergeCell ref="D30:F30"/>
    <mergeCell ref="D31:F31"/>
    <mergeCell ref="Z58:AA58"/>
    <mergeCell ref="Z53:AA53"/>
    <mergeCell ref="Z54:AA54"/>
    <mergeCell ref="Z55:AA55"/>
    <mergeCell ref="Z56:AA56"/>
    <mergeCell ref="Z57:AA57"/>
    <mergeCell ref="Z41:AA41"/>
    <mergeCell ref="Z43:AA43"/>
    <mergeCell ref="Z50:AA50"/>
    <mergeCell ref="Z51:AA51"/>
    <mergeCell ref="Z52:AA52"/>
    <mergeCell ref="Z45:AA45"/>
    <mergeCell ref="Z38:AA38"/>
    <mergeCell ref="Z39:AA39"/>
    <mergeCell ref="Z40:AA40"/>
    <mergeCell ref="Z42:AA42"/>
    <mergeCell ref="Z48:AA48"/>
    <mergeCell ref="Z49:AA49"/>
    <mergeCell ref="Z35:AA35"/>
    <mergeCell ref="Z36:AA36"/>
    <mergeCell ref="Z37:AA37"/>
    <mergeCell ref="V54:W54"/>
    <mergeCell ref="V55:W55"/>
    <mergeCell ref="V56:W56"/>
    <mergeCell ref="V57:W57"/>
    <mergeCell ref="V49:W49"/>
    <mergeCell ref="V35:W35"/>
    <mergeCell ref="V36:W36"/>
    <mergeCell ref="V37:W37"/>
    <mergeCell ref="V45:W45"/>
    <mergeCell ref="V52:W52"/>
    <mergeCell ref="V53:W53"/>
    <mergeCell ref="V38:W38"/>
    <mergeCell ref="V39:W39"/>
    <mergeCell ref="V40:W40"/>
    <mergeCell ref="V42:W42"/>
    <mergeCell ref="V41:W41"/>
    <mergeCell ref="V48:W48"/>
    <mergeCell ref="V51:W51"/>
    <mergeCell ref="Z9:AA9"/>
    <mergeCell ref="Z10:AA10"/>
    <mergeCell ref="Z11:AA11"/>
    <mergeCell ref="Z12:AA12"/>
    <mergeCell ref="Z13:AA13"/>
    <mergeCell ref="V32:W32"/>
    <mergeCell ref="V33:W33"/>
    <mergeCell ref="V46:W46"/>
    <mergeCell ref="V47:W47"/>
    <mergeCell ref="Z21:AA21"/>
    <mergeCell ref="Z24:AA24"/>
    <mergeCell ref="Z25:AA25"/>
    <mergeCell ref="Z14:AA14"/>
    <mergeCell ref="Z15:AA15"/>
    <mergeCell ref="Z16:AA16"/>
    <mergeCell ref="Z17:AA17"/>
    <mergeCell ref="Z18:AA18"/>
    <mergeCell ref="Z31:AA31"/>
    <mergeCell ref="Z32:AA32"/>
    <mergeCell ref="Z33:AA33"/>
    <mergeCell ref="Z46:AA46"/>
    <mergeCell ref="Z47:AA47"/>
    <mergeCell ref="Z26:AA26"/>
    <mergeCell ref="Z27:AA27"/>
    <mergeCell ref="V27:W27"/>
    <mergeCell ref="V28:W28"/>
    <mergeCell ref="V29:W29"/>
    <mergeCell ref="V30:W30"/>
    <mergeCell ref="V31:W31"/>
    <mergeCell ref="Z19:AA19"/>
    <mergeCell ref="Z20:AA20"/>
    <mergeCell ref="V26:W26"/>
    <mergeCell ref="Z28:AA28"/>
    <mergeCell ref="Z29:AA29"/>
    <mergeCell ref="Z30:AA30"/>
    <mergeCell ref="Z23:AA23"/>
    <mergeCell ref="Z22:AA22"/>
    <mergeCell ref="V22:W22"/>
    <mergeCell ref="V23:W23"/>
    <mergeCell ref="V34:W34"/>
    <mergeCell ref="Z34:AA34"/>
    <mergeCell ref="R58:S58"/>
    <mergeCell ref="R3:S3"/>
    <mergeCell ref="P3:P8"/>
    <mergeCell ref="V3:W3"/>
    <mergeCell ref="T3:T8"/>
    <mergeCell ref="V9:W9"/>
    <mergeCell ref="V10:W10"/>
    <mergeCell ref="V11:W11"/>
    <mergeCell ref="V12:W12"/>
    <mergeCell ref="V13:W13"/>
    <mergeCell ref="V14:W14"/>
    <mergeCell ref="V15:W15"/>
    <mergeCell ref="V16:W16"/>
    <mergeCell ref="V17:W17"/>
    <mergeCell ref="V18:W18"/>
    <mergeCell ref="V19:W19"/>
    <mergeCell ref="R53:S53"/>
    <mergeCell ref="R54:S54"/>
    <mergeCell ref="R55:S55"/>
    <mergeCell ref="V58:W58"/>
    <mergeCell ref="V43:W43"/>
    <mergeCell ref="V50:W50"/>
    <mergeCell ref="R31:S31"/>
    <mergeCell ref="R32:S32"/>
    <mergeCell ref="R33:S33"/>
    <mergeCell ref="R46:S46"/>
    <mergeCell ref="R47:S47"/>
    <mergeCell ref="R27:S27"/>
    <mergeCell ref="R28:S28"/>
    <mergeCell ref="R29:S29"/>
    <mergeCell ref="R30:S30"/>
    <mergeCell ref="R41:S41"/>
    <mergeCell ref="R43:S43"/>
    <mergeCell ref="R45:S45"/>
    <mergeCell ref="R38:S38"/>
    <mergeCell ref="R39:S39"/>
    <mergeCell ref="R40:S40"/>
    <mergeCell ref="R42:S42"/>
    <mergeCell ref="N54:O54"/>
    <mergeCell ref="N55:O55"/>
    <mergeCell ref="R48:S48"/>
    <mergeCell ref="N56:O56"/>
    <mergeCell ref="N57:O57"/>
    <mergeCell ref="N41:O41"/>
    <mergeCell ref="N43:O43"/>
    <mergeCell ref="R35:S35"/>
    <mergeCell ref="R36:S36"/>
    <mergeCell ref="R37:S37"/>
    <mergeCell ref="R56:S56"/>
    <mergeCell ref="R57:S57"/>
    <mergeCell ref="R50:S50"/>
    <mergeCell ref="R51:S51"/>
    <mergeCell ref="R52:S52"/>
    <mergeCell ref="R49:S49"/>
    <mergeCell ref="N45:O45"/>
    <mergeCell ref="N38:O38"/>
    <mergeCell ref="N39:O39"/>
    <mergeCell ref="N40:O40"/>
    <mergeCell ref="N42:O42"/>
    <mergeCell ref="N48:O48"/>
    <mergeCell ref="N49:O49"/>
    <mergeCell ref="N58:O58"/>
    <mergeCell ref="R9:S9"/>
    <mergeCell ref="R10:S10"/>
    <mergeCell ref="R11:S11"/>
    <mergeCell ref="R12:S12"/>
    <mergeCell ref="R13:S13"/>
    <mergeCell ref="R14:S14"/>
    <mergeCell ref="R15:S15"/>
    <mergeCell ref="R16:S16"/>
    <mergeCell ref="R17:S17"/>
    <mergeCell ref="R18:S18"/>
    <mergeCell ref="R19:S19"/>
    <mergeCell ref="R20:S20"/>
    <mergeCell ref="R21:S21"/>
    <mergeCell ref="R24:S24"/>
    <mergeCell ref="R25:S25"/>
    <mergeCell ref="N53:O53"/>
    <mergeCell ref="N19:O19"/>
    <mergeCell ref="N20:O20"/>
    <mergeCell ref="N21:O21"/>
    <mergeCell ref="N24:O24"/>
    <mergeCell ref="N25:O25"/>
    <mergeCell ref="N27:O27"/>
    <mergeCell ref="N28:O28"/>
    <mergeCell ref="N16:O16"/>
    <mergeCell ref="N17:O17"/>
    <mergeCell ref="N18:O18"/>
    <mergeCell ref="J55:K55"/>
    <mergeCell ref="J56:K56"/>
    <mergeCell ref="J57:K57"/>
    <mergeCell ref="J58:K58"/>
    <mergeCell ref="N35:O35"/>
    <mergeCell ref="N36:O36"/>
    <mergeCell ref="N37:O37"/>
    <mergeCell ref="N31:O31"/>
    <mergeCell ref="N32:O32"/>
    <mergeCell ref="N33:O33"/>
    <mergeCell ref="N46:O46"/>
    <mergeCell ref="N47:O47"/>
    <mergeCell ref="J50:K50"/>
    <mergeCell ref="J51:K51"/>
    <mergeCell ref="J52:K52"/>
    <mergeCell ref="J53:K53"/>
    <mergeCell ref="J54:K54"/>
    <mergeCell ref="J39:K39"/>
    <mergeCell ref="J40:K40"/>
    <mergeCell ref="J42:K42"/>
    <mergeCell ref="J41:K41"/>
    <mergeCell ref="N3:O3"/>
    <mergeCell ref="L3:L8"/>
    <mergeCell ref="N9:O9"/>
    <mergeCell ref="N10:O10"/>
    <mergeCell ref="N11:O11"/>
    <mergeCell ref="N12:O12"/>
    <mergeCell ref="N13:O13"/>
    <mergeCell ref="N14:O14"/>
    <mergeCell ref="N15:O15"/>
    <mergeCell ref="J19:K19"/>
    <mergeCell ref="J48:K48"/>
    <mergeCell ref="J49:K49"/>
    <mergeCell ref="J32:K32"/>
    <mergeCell ref="N29:O29"/>
    <mergeCell ref="N30:O30"/>
    <mergeCell ref="N50:O50"/>
    <mergeCell ref="N51:O51"/>
    <mergeCell ref="N52:O52"/>
    <mergeCell ref="J43:K43"/>
    <mergeCell ref="J35:K35"/>
    <mergeCell ref="J36:K36"/>
    <mergeCell ref="J47:K47"/>
    <mergeCell ref="J46:K46"/>
    <mergeCell ref="D58:F58"/>
    <mergeCell ref="X3:X8"/>
    <mergeCell ref="Z3:AA3"/>
    <mergeCell ref="J9:K9"/>
    <mergeCell ref="J10:K10"/>
    <mergeCell ref="J3:K3"/>
    <mergeCell ref="H3:H8"/>
    <mergeCell ref="J11:K11"/>
    <mergeCell ref="N26:O26"/>
    <mergeCell ref="R26:S26"/>
    <mergeCell ref="V20:W20"/>
    <mergeCell ref="V21:W21"/>
    <mergeCell ref="V24:W24"/>
    <mergeCell ref="V25:W25"/>
    <mergeCell ref="J12:K12"/>
    <mergeCell ref="J14:K14"/>
    <mergeCell ref="J15:K15"/>
    <mergeCell ref="J16:K16"/>
    <mergeCell ref="J17:K17"/>
    <mergeCell ref="J27:K27"/>
    <mergeCell ref="J28:K28"/>
    <mergeCell ref="J29:K29"/>
    <mergeCell ref="J31:K31"/>
    <mergeCell ref="B7:C7"/>
    <mergeCell ref="D2:F2"/>
    <mergeCell ref="C35:C45"/>
    <mergeCell ref="D44:F44"/>
    <mergeCell ref="J44:K44"/>
    <mergeCell ref="N44:O44"/>
    <mergeCell ref="R44:S44"/>
    <mergeCell ref="V44:W44"/>
    <mergeCell ref="Z44:AA44"/>
    <mergeCell ref="B9:C33"/>
    <mergeCell ref="B34:B56"/>
    <mergeCell ref="D32:F32"/>
    <mergeCell ref="J18:K18"/>
    <mergeCell ref="J13:K13"/>
    <mergeCell ref="J20:K20"/>
    <mergeCell ref="J21:K21"/>
    <mergeCell ref="J24:K24"/>
    <mergeCell ref="J26:K26"/>
    <mergeCell ref="J30:K30"/>
    <mergeCell ref="J25:K25"/>
    <mergeCell ref="J37:K37"/>
    <mergeCell ref="J45:K45"/>
    <mergeCell ref="J38:K38"/>
    <mergeCell ref="J33:K33"/>
  </mergeCells>
  <hyperlinks>
    <hyperlink ref="B7" r:id="rId1" xr:uid="{B50EA225-B62A-4779-A2D3-F6673FB89D71}"/>
  </hyperlinks>
  <pageMargins left="0.7" right="0.7" top="0.75" bottom="0.75" header="0.3" footer="0.3"/>
  <pageSetup orientation="portrait" horizontalDpi="1200" verticalDpi="1200" r:id="rId2"/>
  <drawing r:id="rId3"/>
  <extLst>
    <ext xmlns:x14="http://schemas.microsoft.com/office/spreadsheetml/2009/9/main" uri="{CCE6A557-97BC-4b89-ADB6-D9C93CAAB3DF}">
      <x14:dataValidations xmlns:xm="http://schemas.microsoft.com/office/excel/2006/main" count="4">
        <x14:dataValidation type="list" allowBlank="1" showInputMessage="1" showErrorMessage="1" xr:uid="{B795DCF0-2EEC-418B-A4F2-65A017EBCDA5}">
          <x14:formula1>
            <xm:f>'Background calcs'!$G$463:$G$464</xm:f>
          </x14:formula1>
          <xm:sqref>H17:I17 X17:Y17 L17:M17 P17:Q17 T17:U17</xm:sqref>
        </x14:dataValidation>
        <x14:dataValidation type="list" allowBlank="1" showInputMessage="1" showErrorMessage="1" xr:uid="{D67FE201-C2FF-4210-A28E-35E2F49EF02A}">
          <x14:formula1>
            <xm:f>'Background calcs'!$G$467:$G$471</xm:f>
          </x14:formula1>
          <xm:sqref>E5</xm:sqref>
        </x14:dataValidation>
        <x14:dataValidation type="list" allowBlank="1" showInputMessage="1" showErrorMessage="1" xr:uid="{4FA514C7-7B1F-4181-80C4-C911C9EE0B21}">
          <x14:formula1>
            <xm:f>'Background calcs'!$G$453:$G$454</xm:f>
          </x14:formula1>
          <xm:sqref>H58:J58 Z34 V34 R34 J34 N34 X34 P58:R58 T58:V58 X58:Z58 H34 L58:N58 L34 P34 T34</xm:sqref>
        </x14:dataValidation>
        <x14:dataValidation type="list" allowBlank="1" showInputMessage="1" showErrorMessage="1" xr:uid="{AF3B8657-9112-4251-A345-8D54E050AEA7}">
          <x14:formula1>
            <xm:f>'Background calcs'!$G$457:$G$460</xm:f>
          </x14:formula1>
          <xm:sqref>I60:J60 E60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F00D7-4C16-4DCE-8EA6-391A9CDE08AA}">
  <sheetPr>
    <tabColor rgb="FF92D050"/>
  </sheetPr>
  <dimension ref="B1:F30"/>
  <sheetViews>
    <sheetView showGridLines="0" zoomScaleNormal="100" workbookViewId="0">
      <selection activeCell="D19" sqref="D19"/>
    </sheetView>
  </sheetViews>
  <sheetFormatPr defaultColWidth="33.42578125" defaultRowHeight="15" x14ac:dyDescent="0.25"/>
  <cols>
    <col min="1" max="1" width="0.42578125" customWidth="1"/>
    <col min="2" max="2" width="58.7109375" bestFit="1" customWidth="1"/>
    <col min="3" max="3" width="6.42578125" style="103" customWidth="1"/>
    <col min="4" max="4" width="42.140625" customWidth="1"/>
    <col min="5" max="5" width="31.42578125" customWidth="1"/>
    <col min="6" max="6" width="10.7109375" customWidth="1"/>
  </cols>
  <sheetData>
    <row r="1" spans="2:6" ht="2.25" customHeight="1" thickBot="1" x14ac:dyDescent="0.3"/>
    <row r="2" spans="2:6" ht="15.75" thickBot="1" x14ac:dyDescent="0.3">
      <c r="B2" s="347" t="s">
        <v>489</v>
      </c>
      <c r="C2" s="197"/>
      <c r="D2" s="197"/>
      <c r="E2" s="197"/>
      <c r="F2" s="198"/>
    </row>
    <row r="3" spans="2:6" ht="0.75" customHeight="1" thickBot="1" x14ac:dyDescent="0.3">
      <c r="B3" s="104"/>
      <c r="C3" s="104"/>
      <c r="D3" s="104"/>
      <c r="E3" s="104"/>
      <c r="F3" s="104"/>
    </row>
    <row r="4" spans="2:6" ht="15" customHeight="1" x14ac:dyDescent="0.25">
      <c r="B4" s="339" t="s">
        <v>507</v>
      </c>
      <c r="C4" s="340"/>
      <c r="D4" s="341"/>
      <c r="E4" s="179" t="s">
        <v>486</v>
      </c>
      <c r="F4" s="164">
        <v>140</v>
      </c>
    </row>
    <row r="5" spans="2:6" x14ac:dyDescent="0.25">
      <c r="B5" s="342"/>
      <c r="C5" s="343"/>
      <c r="D5" s="344"/>
      <c r="E5" s="180" t="s">
        <v>487</v>
      </c>
      <c r="F5" s="165">
        <v>30</v>
      </c>
    </row>
    <row r="6" spans="2:6" ht="15.75" thickBot="1" x14ac:dyDescent="0.3">
      <c r="B6" s="342"/>
      <c r="C6" s="343"/>
      <c r="D6" s="344"/>
      <c r="E6" s="181" t="s">
        <v>488</v>
      </c>
      <c r="F6" s="187" t="s">
        <v>483</v>
      </c>
    </row>
    <row r="7" spans="2:6" ht="15.75" thickBot="1" x14ac:dyDescent="0.3">
      <c r="B7" s="345"/>
      <c r="C7" s="346"/>
      <c r="D7" s="175" t="str">
        <f>"Published "&amp;F6&amp;" Base Geometry"&amp;""</f>
        <v>Published Static Base Geometry</v>
      </c>
      <c r="E7" s="348" t="str">
        <f>IF(F6="Static", "Calculated Sagged Geometry", "Calculated Static Geometry")</f>
        <v>Calculated Sagged Geometry</v>
      </c>
      <c r="F7" s="349"/>
    </row>
    <row r="8" spans="2:6" ht="17.25" x14ac:dyDescent="0.25">
      <c r="B8" s="150" t="s">
        <v>366</v>
      </c>
      <c r="C8" s="171" t="s">
        <v>358</v>
      </c>
      <c r="D8" s="162">
        <v>750</v>
      </c>
      <c r="E8" s="350">
        <f>D8</f>
        <v>750</v>
      </c>
      <c r="F8" s="351"/>
    </row>
    <row r="9" spans="2:6" ht="17.25" x14ac:dyDescent="0.25">
      <c r="B9" s="150" t="s">
        <v>365</v>
      </c>
      <c r="C9" s="172" t="s">
        <v>358</v>
      </c>
      <c r="D9" s="162">
        <v>750</v>
      </c>
      <c r="E9" s="350">
        <f>D9</f>
        <v>750</v>
      </c>
      <c r="F9" s="351"/>
    </row>
    <row r="10" spans="2:6" ht="17.25" customHeight="1" x14ac:dyDescent="0.25">
      <c r="B10" s="169" t="s">
        <v>364</v>
      </c>
      <c r="C10" s="172" t="s">
        <v>358</v>
      </c>
      <c r="D10" s="162">
        <v>480</v>
      </c>
      <c r="E10" s="333">
        <f>'Background calcs'!AD10-'Background calcs'!AD6</f>
        <v>498.68209534719227</v>
      </c>
      <c r="F10" s="334"/>
    </row>
    <row r="11" spans="2:6" ht="17.25" customHeight="1" x14ac:dyDescent="0.25">
      <c r="B11" s="169" t="s">
        <v>363</v>
      </c>
      <c r="C11" s="172" t="s">
        <v>358</v>
      </c>
      <c r="D11" s="162">
        <v>629</v>
      </c>
      <c r="E11" s="333">
        <f>'Background calcs'!AD11-'Background calcs'!AD7</f>
        <v>614.29404016328692</v>
      </c>
      <c r="F11" s="334"/>
    </row>
    <row r="12" spans="2:6" ht="17.25" customHeight="1" x14ac:dyDescent="0.25">
      <c r="B12" s="169" t="s">
        <v>362</v>
      </c>
      <c r="C12" s="172" t="s">
        <v>359</v>
      </c>
      <c r="D12" s="162">
        <v>65</v>
      </c>
      <c r="E12" s="333">
        <f>D12-DEGREES('Background calcs'!AC20)</f>
        <v>66.721756286376205</v>
      </c>
      <c r="F12" s="334"/>
    </row>
    <row r="13" spans="2:6" ht="17.25" customHeight="1" x14ac:dyDescent="0.25">
      <c r="B13" s="169" t="s">
        <v>361</v>
      </c>
      <c r="C13" s="172" t="s">
        <v>359</v>
      </c>
      <c r="D13" s="162">
        <v>76</v>
      </c>
      <c r="E13" s="333">
        <f>D13-DEGREES('Background calcs'!AC20)</f>
        <v>77.721756286376205</v>
      </c>
      <c r="F13" s="334"/>
    </row>
    <row r="14" spans="2:6" ht="17.25" customHeight="1" x14ac:dyDescent="0.25">
      <c r="B14" s="169" t="s">
        <v>360</v>
      </c>
      <c r="C14" s="172" t="s">
        <v>358</v>
      </c>
      <c r="D14" s="162">
        <v>445</v>
      </c>
      <c r="E14" s="333">
        <f>D14</f>
        <v>445</v>
      </c>
      <c r="F14" s="334"/>
    </row>
    <row r="15" spans="2:6" ht="17.25" customHeight="1" x14ac:dyDescent="0.25">
      <c r="B15" s="169" t="s">
        <v>341</v>
      </c>
      <c r="C15" s="172" t="s">
        <v>55</v>
      </c>
      <c r="D15" s="162" t="s">
        <v>89</v>
      </c>
      <c r="E15" s="333" t="str">
        <f>D15</f>
        <v>Chainstay Length</v>
      </c>
      <c r="F15" s="334"/>
    </row>
    <row r="16" spans="2:6" ht="17.25" customHeight="1" x14ac:dyDescent="0.25">
      <c r="B16" s="169" t="s">
        <v>372</v>
      </c>
      <c r="C16" s="172" t="s">
        <v>358</v>
      </c>
      <c r="D16" s="162">
        <v>435</v>
      </c>
      <c r="E16" s="333" t="s">
        <v>91</v>
      </c>
      <c r="F16" s="334"/>
    </row>
    <row r="17" spans="2:6" ht="17.25" customHeight="1" x14ac:dyDescent="0.25">
      <c r="B17" s="169" t="s">
        <v>89</v>
      </c>
      <c r="C17" s="172" t="s">
        <v>358</v>
      </c>
      <c r="D17" s="176">
        <f>IF(D15="Chainstay Length",D16,SQRT(D18^2+D19^2))</f>
        <v>435</v>
      </c>
      <c r="E17" s="333">
        <f>SQRT(('Background calcs'!AD2-'Background calcs'!AD6)^2+('Background calcs'!AD3-'Background calcs'!AD7)^2)</f>
        <v>435.00000000000006</v>
      </c>
      <c r="F17" s="334"/>
    </row>
    <row r="18" spans="2:6" ht="17.25" customHeight="1" x14ac:dyDescent="0.25">
      <c r="B18" s="169" t="s">
        <v>90</v>
      </c>
      <c r="C18" s="172" t="s">
        <v>358</v>
      </c>
      <c r="D18" s="176">
        <f>IF(D15="Chainstay Length",SQRT(D17^2-D19^2),D16)</f>
        <v>433.33705126610164</v>
      </c>
      <c r="E18" s="333">
        <f>'Background calcs'!AD6-'Background calcs'!AD2</f>
        <v>431.99966949419121</v>
      </c>
      <c r="F18" s="334"/>
    </row>
    <row r="19" spans="2:6" ht="17.25" customHeight="1" x14ac:dyDescent="0.25">
      <c r="B19" s="169" t="s">
        <v>373</v>
      </c>
      <c r="C19" s="172" t="s">
        <v>358</v>
      </c>
      <c r="D19" s="162">
        <v>38</v>
      </c>
      <c r="E19" s="333">
        <f>'Background calcs'!AD3-'Background calcs'!AD7</f>
        <v>51.002799500709671</v>
      </c>
      <c r="F19" s="334"/>
    </row>
    <row r="20" spans="2:6" ht="17.25" customHeight="1" x14ac:dyDescent="0.25">
      <c r="B20" s="169" t="s">
        <v>374</v>
      </c>
      <c r="C20" s="172" t="s">
        <v>358</v>
      </c>
      <c r="D20" s="178">
        <f>'Background calcs'!AB14-'Background calcs'!AB7</f>
        <v>38</v>
      </c>
      <c r="E20" s="333">
        <f>'Background calcs'!AD14-'Background calcs'!AD7</f>
        <v>51.002799500709671</v>
      </c>
      <c r="F20" s="334"/>
    </row>
    <row r="21" spans="2:6" ht="17.25" customHeight="1" x14ac:dyDescent="0.25">
      <c r="B21" s="169" t="s">
        <v>375</v>
      </c>
      <c r="C21" s="172" t="s">
        <v>358</v>
      </c>
      <c r="D21" s="176">
        <f>('Background calcs'!AB14-'Background calcs'!AB3)/('Background calcs'!AB18-'Background calcs'!AB2)*('Background calcs'!AB6-'Background calcs'!AB2)+'Background calcs'!AB3-'Background calcs'!AB7</f>
        <v>38</v>
      </c>
      <c r="E21" s="333">
        <f>('Background calcs'!AD14-'Background calcs'!AD3)/('Background calcs'!AD18-'Background calcs'!AD2)*('Background calcs'!AD6-'Background calcs'!AD2)+'Background calcs'!AD3-'Background calcs'!AD7</f>
        <v>51.002799500709671</v>
      </c>
      <c r="F21" s="334"/>
    </row>
    <row r="22" spans="2:6" ht="17.25" customHeight="1" x14ac:dyDescent="0.25">
      <c r="B22" s="169" t="s">
        <v>376</v>
      </c>
      <c r="C22" s="172" t="s">
        <v>358</v>
      </c>
      <c r="D22" s="176">
        <f>D8/2-D19</f>
        <v>337</v>
      </c>
      <c r="E22" s="333">
        <f>'Background calcs'!AD7-'Background calcs'!AD15</f>
        <v>323.99720049929033</v>
      </c>
      <c r="F22" s="334"/>
    </row>
    <row r="23" spans="2:6" ht="17.25" customHeight="1" x14ac:dyDescent="0.25">
      <c r="B23" s="169" t="s">
        <v>377</v>
      </c>
      <c r="C23" s="172" t="s">
        <v>358</v>
      </c>
      <c r="D23" s="162">
        <v>120</v>
      </c>
      <c r="E23" s="333">
        <f>D23</f>
        <v>120</v>
      </c>
      <c r="F23" s="334"/>
    </row>
    <row r="24" spans="2:6" ht="17.25" customHeight="1" x14ac:dyDescent="0.25">
      <c r="B24" s="169" t="s">
        <v>378</v>
      </c>
      <c r="C24" s="172" t="s">
        <v>358</v>
      </c>
      <c r="D24" s="162">
        <v>42</v>
      </c>
      <c r="E24" s="337">
        <f>D24</f>
        <v>42</v>
      </c>
      <c r="F24" s="338"/>
    </row>
    <row r="25" spans="2:6" ht="17.25" customHeight="1" x14ac:dyDescent="0.25">
      <c r="B25" s="169" t="s">
        <v>380</v>
      </c>
      <c r="C25" s="172" t="s">
        <v>358</v>
      </c>
      <c r="D25" s="176">
        <f>'Background calcs'!AB19-'Background calcs'!AB4</f>
        <v>1235.2667498321305</v>
      </c>
      <c r="E25" s="333">
        <f>'Background calcs'!AD19-'Background calcs'!AD4</f>
        <v>1218.7417008325483</v>
      </c>
      <c r="F25" s="334"/>
    </row>
    <row r="26" spans="2:6" ht="17.25" customHeight="1" x14ac:dyDescent="0.25">
      <c r="B26" s="169" t="s">
        <v>381</v>
      </c>
      <c r="C26" s="172" t="s">
        <v>358</v>
      </c>
      <c r="D26" s="176">
        <f>'Background calcs'!AB19-'Background calcs'!AB6</f>
        <v>801.92969856602883</v>
      </c>
      <c r="E26" s="333">
        <f>'Background calcs'!AD19-'Background calcs'!AD6</f>
        <v>786.74203133835704</v>
      </c>
      <c r="F26" s="334"/>
    </row>
    <row r="27" spans="2:6" ht="17.25" customHeight="1" x14ac:dyDescent="0.25">
      <c r="B27" s="169" t="s">
        <v>382</v>
      </c>
      <c r="C27" s="172" t="s">
        <v>358</v>
      </c>
      <c r="D27" s="176">
        <f>'Background calcs'!AB10-'Background calcs'!AB13</f>
        <v>636.82731378836058</v>
      </c>
      <c r="E27" s="333">
        <f>'Background calcs'!AD10-'Background calcs'!AD13</f>
        <v>636.53980104757522</v>
      </c>
      <c r="F27" s="334"/>
    </row>
    <row r="28" spans="2:6" ht="17.25" customHeight="1" x14ac:dyDescent="0.25">
      <c r="B28" s="169" t="s">
        <v>407</v>
      </c>
      <c r="C28" s="172" t="s">
        <v>358</v>
      </c>
      <c r="D28" s="176">
        <f>SQRT(('Background calcs'!AB6-'Background calcs'!AB10)^2+('Background calcs'!AB7-'Background calcs'!AB11)^2)</f>
        <v>791.22752732700087</v>
      </c>
      <c r="E28" s="333">
        <f>SQRT(('Background calcs'!AD6-'Background calcs'!AD10)^2+('Background calcs'!AD7-'Background calcs'!AD11)^2)</f>
        <v>791.22752732700098</v>
      </c>
      <c r="F28" s="334"/>
    </row>
    <row r="29" spans="2:6" ht="17.25" customHeight="1" x14ac:dyDescent="0.25">
      <c r="B29" s="169" t="s">
        <v>383</v>
      </c>
      <c r="C29" s="172" t="s">
        <v>358</v>
      </c>
      <c r="D29" s="176">
        <f>SQRT(('Background calcs'!AB8-'Background calcs'!AB18)^2+('Background calcs'!AB9-'Background calcs'!AB14)^2)</f>
        <v>553.27771109902119</v>
      </c>
      <c r="E29" s="333">
        <f>SQRT(('Background calcs'!AD8-'Background calcs'!AD18)^2+('Background calcs'!AD9-'Background calcs'!AD14)^2)</f>
        <v>512.99990045481911</v>
      </c>
      <c r="F29" s="334"/>
    </row>
    <row r="30" spans="2:6" ht="17.25" customHeight="1" thickBot="1" x14ac:dyDescent="0.3">
      <c r="B30" s="173" t="s">
        <v>384</v>
      </c>
      <c r="C30" s="174" t="s">
        <v>358</v>
      </c>
      <c r="D30" s="177">
        <f>(D9/2*COS(RADIANS(D12))-D24)/SIN(RADIANS(D12))</f>
        <v>128.52349921169983</v>
      </c>
      <c r="E30" s="335">
        <f>(E9/2*COS(RADIANS(E12))-E24)/SIN(RADIANS(E12))</f>
        <v>115.60981312918813</v>
      </c>
      <c r="F30" s="336"/>
    </row>
  </sheetData>
  <sheetProtection sheet="1" objects="1" scenarios="1" selectLockedCells="1"/>
  <mergeCells count="27">
    <mergeCell ref="B2:F2"/>
    <mergeCell ref="E7:F7"/>
    <mergeCell ref="E8:F8"/>
    <mergeCell ref="E9:F9"/>
    <mergeCell ref="E10:F10"/>
    <mergeCell ref="E26:F26"/>
    <mergeCell ref="E27:F27"/>
    <mergeCell ref="E11:F11"/>
    <mergeCell ref="B4:D6"/>
    <mergeCell ref="B7:C7"/>
    <mergeCell ref="E12:F12"/>
    <mergeCell ref="E28:F28"/>
    <mergeCell ref="E29:F29"/>
    <mergeCell ref="E30:F30"/>
    <mergeCell ref="E13:F13"/>
    <mergeCell ref="E14:F14"/>
    <mergeCell ref="E15:F15"/>
    <mergeCell ref="E16:F16"/>
    <mergeCell ref="E17:F17"/>
    <mergeCell ref="E18:F18"/>
    <mergeCell ref="E19:F19"/>
    <mergeCell ref="E20:F20"/>
    <mergeCell ref="E21:F21"/>
    <mergeCell ref="E22:F22"/>
    <mergeCell ref="E23:F23"/>
    <mergeCell ref="E24:F24"/>
    <mergeCell ref="E25:F25"/>
  </mergeCells>
  <pageMargins left="0.7" right="0.7" top="0.75" bottom="0.75" header="0.3" footer="0.3"/>
  <pageSetup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156829A4-1B32-4BF0-AF29-496D33E7CBB8}">
          <x14:formula1>
            <xm:f>'Background calcs'!$G$463:$G$464</xm:f>
          </x14:formula1>
          <xm:sqref>D15</xm:sqref>
        </x14:dataValidation>
        <x14:dataValidation type="list" allowBlank="1" showInputMessage="1" showErrorMessage="1" xr:uid="{AEAF863C-5005-4D80-8A16-4075DB17FC94}">
          <x14:formula1>
            <xm:f>'Background calcs'!$G$473:$G$474</xm:f>
          </x14:formula1>
          <xm:sqref>F6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EFD8B-E3EB-4430-A436-18D0E643A96D}">
  <sheetPr>
    <tabColor rgb="FF92D050"/>
  </sheetPr>
  <dimension ref="B1:D19"/>
  <sheetViews>
    <sheetView zoomScaleNormal="100" workbookViewId="0">
      <selection activeCell="D8" sqref="D8"/>
    </sheetView>
  </sheetViews>
  <sheetFormatPr defaultRowHeight="15" x14ac:dyDescent="0.25"/>
  <cols>
    <col min="1" max="1" width="0.42578125" style="96" customWidth="1"/>
    <col min="2" max="2" width="55.85546875" style="96" bestFit="1" customWidth="1"/>
    <col min="3" max="3" width="5.5703125" style="96" bestFit="1" customWidth="1"/>
    <col min="4" max="16384" width="9.140625" style="96"/>
  </cols>
  <sheetData>
    <row r="1" spans="2:4" ht="2.25" customHeight="1" thickBot="1" x14ac:dyDescent="0.3"/>
    <row r="2" spans="2:4" ht="15.75" thickBot="1" x14ac:dyDescent="0.3">
      <c r="B2" s="352" t="s">
        <v>490</v>
      </c>
      <c r="C2" s="353"/>
      <c r="D2" s="354"/>
    </row>
    <row r="3" spans="2:4" ht="60" customHeight="1" thickBot="1" x14ac:dyDescent="0.3">
      <c r="B3" s="355" t="s">
        <v>492</v>
      </c>
      <c r="C3" s="356"/>
      <c r="D3" s="357"/>
    </row>
    <row r="4" spans="2:4" x14ac:dyDescent="0.25">
      <c r="B4" s="148" t="s">
        <v>364</v>
      </c>
      <c r="C4" s="149" t="s">
        <v>358</v>
      </c>
      <c r="D4" s="192">
        <v>485</v>
      </c>
    </row>
    <row r="5" spans="2:4" x14ac:dyDescent="0.25">
      <c r="B5" s="150" t="s">
        <v>456</v>
      </c>
      <c r="C5" s="151" t="s">
        <v>358</v>
      </c>
      <c r="D5" s="193">
        <v>628</v>
      </c>
    </row>
    <row r="6" spans="2:4" x14ac:dyDescent="0.25">
      <c r="B6" s="150" t="s">
        <v>362</v>
      </c>
      <c r="C6" s="151" t="s">
        <v>476</v>
      </c>
      <c r="D6" s="193">
        <v>64.7</v>
      </c>
    </row>
    <row r="7" spans="2:4" x14ac:dyDescent="0.25">
      <c r="B7" s="150" t="s">
        <v>385</v>
      </c>
      <c r="C7" s="151" t="s">
        <v>358</v>
      </c>
      <c r="D7" s="193">
        <v>40</v>
      </c>
    </row>
    <row r="8" spans="2:4" x14ac:dyDescent="0.25">
      <c r="B8" s="150" t="s">
        <v>386</v>
      </c>
      <c r="C8" s="151" t="s">
        <v>476</v>
      </c>
      <c r="D8" s="193">
        <v>0</v>
      </c>
    </row>
    <row r="9" spans="2:4" x14ac:dyDescent="0.25">
      <c r="B9" s="150" t="s">
        <v>387</v>
      </c>
      <c r="C9" s="151" t="s">
        <v>358</v>
      </c>
      <c r="D9" s="193">
        <v>40</v>
      </c>
    </row>
    <row r="10" spans="2:4" x14ac:dyDescent="0.25">
      <c r="B10" s="150" t="s">
        <v>388</v>
      </c>
      <c r="C10" s="151" t="s">
        <v>358</v>
      </c>
      <c r="D10" s="193">
        <v>20</v>
      </c>
    </row>
    <row r="11" spans="2:4" x14ac:dyDescent="0.25">
      <c r="B11" s="150" t="s">
        <v>389</v>
      </c>
      <c r="C11" s="151" t="s">
        <v>476</v>
      </c>
      <c r="D11" s="193">
        <v>8</v>
      </c>
    </row>
    <row r="12" spans="2:4" x14ac:dyDescent="0.25">
      <c r="B12" s="150" t="s">
        <v>390</v>
      </c>
      <c r="C12" s="151" t="s">
        <v>476</v>
      </c>
      <c r="D12" s="193">
        <v>5</v>
      </c>
    </row>
    <row r="13" spans="2:4" x14ac:dyDescent="0.25">
      <c r="B13" s="150" t="s">
        <v>392</v>
      </c>
      <c r="C13" s="151" t="s">
        <v>358</v>
      </c>
      <c r="D13" s="193">
        <v>280</v>
      </c>
    </row>
    <row r="14" spans="2:4" x14ac:dyDescent="0.25">
      <c r="B14" s="150" t="s">
        <v>391</v>
      </c>
      <c r="C14" s="151" t="s">
        <v>476</v>
      </c>
      <c r="D14" s="193">
        <v>0</v>
      </c>
    </row>
    <row r="15" spans="2:4" x14ac:dyDescent="0.25">
      <c r="B15" s="150" t="s">
        <v>393</v>
      </c>
      <c r="C15" s="151" t="s">
        <v>358</v>
      </c>
      <c r="D15" s="193">
        <v>130</v>
      </c>
    </row>
    <row r="16" spans="2:4" x14ac:dyDescent="0.25">
      <c r="B16" s="150" t="s">
        <v>460</v>
      </c>
      <c r="C16" s="151" t="s">
        <v>358</v>
      </c>
      <c r="D16" s="193">
        <v>34</v>
      </c>
    </row>
    <row r="17" spans="2:4" x14ac:dyDescent="0.25">
      <c r="B17" s="150" t="s">
        <v>404</v>
      </c>
      <c r="C17" s="151" t="s">
        <v>358</v>
      </c>
      <c r="D17" s="176">
        <f>SQRT((D4+D9*COS(RADIANS(180-D6))+D7*COS(RADIANS(90+D8-D6))+((D13-D15/2)*SIN(RADIANS(-D11))*SIN(RADIANS(90-D12)))*COS(RADIANS(-D14))-(D10+(D13-D15/2)*COS(RADIANS(90-D12)))*SIN(RADIANS(-D14)))^2+(D5+D9*SIN(RADIANS(180-D6))+D7*SIN(RADIANS(90+D8-D6))+((D13-D15/2)*SIN(RADIANS(-D11))*SIN(RADIANS(90-D12)))*SIN(RADIANS(-D14))+(D10+(D13-D15/2)*COS(RADIANS(90-D12)))*COS(RADIANS(-D14))+D16/2)^2)</f>
        <v>876.40538678584494</v>
      </c>
    </row>
    <row r="18" spans="2:4" x14ac:dyDescent="0.25">
      <c r="B18" s="150" t="s">
        <v>405</v>
      </c>
      <c r="C18" s="151" t="s">
        <v>476</v>
      </c>
      <c r="D18" s="176">
        <f>DEGREES(ATAN((D5+D9*SIN(RADIANS(180-D6))+D7*SIN(RADIANS(90+D8-D6))+((D13-D15/2)*SIN(RADIANS(-D11))*SIN(RADIANS(90-D12)))*SIN(RADIANS(-D14))+(D10+(D13-D15/2)*COS(RADIANS(90-D12)))*COS(RADIANS(-D14))+D16/2)/(D4+D9*COS(RADIANS(180-D6))+D7*COS(RADIANS(90+D8-D6))+((D13-D15/2)*SIN(RADIANS(-D11))*SIN(RADIANS(90-D12)))*COS(RADIANS(-D14))-(D10+(D13-D15/2)*COS(RADIANS(90-D12)))*SIN(RADIANS(-D14)))))</f>
        <v>57.238518745749211</v>
      </c>
    </row>
    <row r="19" spans="2:4" ht="15.75" thickBot="1" x14ac:dyDescent="0.3">
      <c r="B19" s="152" t="s">
        <v>406</v>
      </c>
      <c r="C19" s="153" t="s">
        <v>358</v>
      </c>
      <c r="D19" s="177">
        <f>D4+D9*COS(RADIANS(180-D6))+D7*COS(RADIANS(90+D8-D6))+((D13-D15/2)*SIN(RADIANS(-D11))*SIN(RADIANS(90-D12)))*COS(RADIANS(-D14))-(D10+(D13-D15/2)*COS(RADIANS(90-D12)))*SIN(RADIANS(-D14))-(D4+D9*COS(RADIANS(180-D6))+((D5+D9*SIN(RADIANS(180-D6))+D7*SIN(RADIANS(90+D8-D6))+((D13-D15/2)*SIN(RADIANS(-D11))*SIN(RADIANS(90-D12)))*SIN(RADIANS(-D14))+(D10+(D13-D15/2)*COS(RADIANS(90-D12)))*COS(RADIANS(-D14)))-(D5+D9*SIN(RADIANS(180-D6))))/TAN(RADIANS(180-D6)))</f>
        <v>32.746991633779601</v>
      </c>
    </row>
  </sheetData>
  <sheetProtection sheet="1" selectLockedCells="1"/>
  <mergeCells count="2">
    <mergeCell ref="B2:D2"/>
    <mergeCell ref="B3:D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9534C-6882-415A-964A-134717006060}">
  <sheetPr>
    <tabColor rgb="FF92D050"/>
  </sheetPr>
  <dimension ref="B1:D8"/>
  <sheetViews>
    <sheetView zoomScaleNormal="100" workbookViewId="0">
      <selection activeCell="D4" sqref="D4"/>
    </sheetView>
  </sheetViews>
  <sheetFormatPr defaultRowHeight="15" x14ac:dyDescent="0.25"/>
  <cols>
    <col min="1" max="1" width="0.42578125" style="96" customWidth="1"/>
    <col min="2" max="2" width="43.5703125" style="96" bestFit="1" customWidth="1"/>
    <col min="3" max="3" width="8.28515625" style="96" customWidth="1"/>
    <col min="4" max="4" width="31.42578125" style="96" customWidth="1"/>
    <col min="5" max="16384" width="9.140625" style="96"/>
  </cols>
  <sheetData>
    <row r="1" spans="2:4" ht="2.25" customHeight="1" thickBot="1" x14ac:dyDescent="0.3"/>
    <row r="2" spans="2:4" ht="15.75" thickBot="1" x14ac:dyDescent="0.3">
      <c r="B2" s="347" t="s">
        <v>491</v>
      </c>
      <c r="C2" s="197"/>
      <c r="D2" s="198"/>
    </row>
    <row r="3" spans="2:4" ht="28.5" customHeight="1" thickBot="1" x14ac:dyDescent="0.3">
      <c r="B3" s="358" t="s">
        <v>505</v>
      </c>
      <c r="C3" s="359"/>
      <c r="D3" s="360"/>
    </row>
    <row r="4" spans="2:4" ht="15.75" customHeight="1" thickBot="1" x14ac:dyDescent="0.3">
      <c r="B4" s="183" t="s">
        <v>495</v>
      </c>
      <c r="C4" s="184"/>
      <c r="D4" s="182" t="s">
        <v>494</v>
      </c>
    </row>
    <row r="5" spans="2:4" x14ac:dyDescent="0.25">
      <c r="B5" s="148" t="str">
        <f>IF(D4="From suspension fork to rigid fork", "Current Suspension Fork Axle-to-Crown Length", "Current Rigid Fork Axle-to-Crown Length")</f>
        <v>Current Suspension Fork Axle-to-Crown Length</v>
      </c>
      <c r="C5" s="149" t="s">
        <v>358</v>
      </c>
      <c r="D5" s="167">
        <v>541</v>
      </c>
    </row>
    <row r="6" spans="2:4" x14ac:dyDescent="0.25">
      <c r="B6" s="150" t="s">
        <v>477</v>
      </c>
      <c r="C6" s="151" t="s">
        <v>358</v>
      </c>
      <c r="D6" s="168">
        <v>130</v>
      </c>
    </row>
    <row r="7" spans="2:4" x14ac:dyDescent="0.25">
      <c r="B7" s="150" t="s">
        <v>478</v>
      </c>
      <c r="C7" s="151" t="s">
        <v>479</v>
      </c>
      <c r="D7" s="168">
        <v>30</v>
      </c>
    </row>
    <row r="8" spans="2:4" ht="15.75" thickBot="1" x14ac:dyDescent="0.3">
      <c r="B8" s="152" t="str">
        <f>IF(D4="From suspension fork to rigid fork", "Ideal Rigid Fork Axle-To-Crown Length", "Ideal Suspension Fork Axle-to-Crown Length")</f>
        <v>Ideal Rigid Fork Axle-To-Crown Length</v>
      </c>
      <c r="C8" s="153" t="s">
        <v>358</v>
      </c>
      <c r="D8" s="185">
        <f>IF(D4="From suspension fork to rigid fork", D5-D7/100*D6, D5+D7/100*D6)</f>
        <v>502</v>
      </c>
    </row>
  </sheetData>
  <sheetProtection sheet="1" selectLockedCells="1"/>
  <mergeCells count="2">
    <mergeCell ref="B2:D2"/>
    <mergeCell ref="B3:D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304EEF79-6A2F-4CF4-88B0-C63AD72E3166}">
          <x14:formula1>
            <xm:f>'Background calcs'!$G$476:$G$477</xm:f>
          </x14:formula1>
          <xm:sqref>D4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25AD3-A0BF-43E0-A152-E8A92C7B7D12}">
  <sheetPr>
    <tabColor rgb="FF92D050"/>
  </sheetPr>
  <dimension ref="B1:E9"/>
  <sheetViews>
    <sheetView zoomScaleNormal="100" workbookViewId="0">
      <selection activeCell="C7" sqref="C7:D7"/>
    </sheetView>
  </sheetViews>
  <sheetFormatPr defaultRowHeight="15" x14ac:dyDescent="0.25"/>
  <cols>
    <col min="1" max="1" width="0.42578125" style="96" customWidth="1"/>
    <col min="2" max="2" width="24" style="96" customWidth="1"/>
    <col min="3" max="3" width="11.85546875" style="96" customWidth="1"/>
    <col min="4" max="4" width="2.5703125" style="96" customWidth="1"/>
    <col min="5" max="5" width="10.7109375" style="96" customWidth="1"/>
    <col min="6" max="16384" width="9.140625" style="96"/>
  </cols>
  <sheetData>
    <row r="1" spans="2:5" ht="2.25" customHeight="1" thickBot="1" x14ac:dyDescent="0.3"/>
    <row r="2" spans="2:5" ht="15.75" thickBot="1" x14ac:dyDescent="0.3">
      <c r="B2" s="347" t="s">
        <v>496</v>
      </c>
      <c r="C2" s="197"/>
      <c r="D2" s="197"/>
      <c r="E2" s="198"/>
    </row>
    <row r="3" spans="2:5" ht="92.25" customHeight="1" thickBot="1" x14ac:dyDescent="0.3">
      <c r="B3" s="363" t="s">
        <v>506</v>
      </c>
      <c r="C3" s="364"/>
      <c r="D3" s="364"/>
      <c r="E3" s="365"/>
    </row>
    <row r="4" spans="2:5" x14ac:dyDescent="0.25">
      <c r="B4" s="317" t="s">
        <v>92</v>
      </c>
      <c r="C4" s="318"/>
      <c r="D4" s="319"/>
      <c r="E4" s="130" t="s">
        <v>367</v>
      </c>
    </row>
    <row r="5" spans="2:5" x14ac:dyDescent="0.25">
      <c r="B5" s="320"/>
      <c r="C5" s="321"/>
      <c r="D5" s="322"/>
      <c r="E5" s="105"/>
    </row>
    <row r="6" spans="2:5" x14ac:dyDescent="0.25">
      <c r="B6" s="36" t="s">
        <v>96</v>
      </c>
      <c r="C6" s="170" t="s">
        <v>94</v>
      </c>
      <c r="D6" s="186"/>
      <c r="E6" s="106" t="s">
        <v>368</v>
      </c>
    </row>
    <row r="7" spans="2:5" x14ac:dyDescent="0.25">
      <c r="B7" s="37" t="s">
        <v>369</v>
      </c>
      <c r="C7" s="361">
        <v>2.4</v>
      </c>
      <c r="D7" s="362"/>
      <c r="E7" s="107" t="s">
        <v>358</v>
      </c>
    </row>
    <row r="8" spans="2:5" x14ac:dyDescent="0.25">
      <c r="B8" s="37" t="s">
        <v>370</v>
      </c>
      <c r="C8" s="325">
        <f>VLOOKUP(C6,'Background calcs'!G467:H471,2,FALSE)</f>
        <v>622</v>
      </c>
      <c r="D8" s="326"/>
      <c r="E8" s="106" t="s">
        <v>358</v>
      </c>
    </row>
    <row r="9" spans="2:5" ht="15.75" thickBot="1" x14ac:dyDescent="0.3">
      <c r="B9" s="94" t="s">
        <v>371</v>
      </c>
      <c r="C9" s="327">
        <f>C8+2*C7*25.4</f>
        <v>743.92</v>
      </c>
      <c r="D9" s="328"/>
      <c r="E9" s="108" t="s">
        <v>358</v>
      </c>
    </row>
  </sheetData>
  <sheetProtection sheet="1" selectLockedCells="1"/>
  <mergeCells count="6">
    <mergeCell ref="B2:E2"/>
    <mergeCell ref="B4:D5"/>
    <mergeCell ref="C7:D7"/>
    <mergeCell ref="C8:D8"/>
    <mergeCell ref="C9:D9"/>
    <mergeCell ref="B3:E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53437B76-67C9-4EBF-9326-3B9EA518A9F8}">
          <x14:formula1>
            <xm:f>'Background calcs'!$G$467:$G$471</xm:f>
          </x14:formula1>
          <xm:sqref>C6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ECB44-50C8-4909-AFDE-12E1CB70E3A2}">
  <dimension ref="A39:B89"/>
  <sheetViews>
    <sheetView topLeftCell="A50" zoomScale="85" zoomScaleNormal="85" workbookViewId="0">
      <selection activeCell="B78" sqref="B78"/>
    </sheetView>
  </sheetViews>
  <sheetFormatPr defaultRowHeight="15" x14ac:dyDescent="0.25"/>
  <cols>
    <col min="1" max="1" width="61.140625" style="96" bestFit="1" customWidth="1"/>
    <col min="2" max="2" width="206.140625" style="96" customWidth="1"/>
    <col min="3" max="33" width="9.140625" style="96"/>
    <col min="34" max="34" width="9.140625" style="96" customWidth="1"/>
    <col min="35" max="35" width="61.140625" style="96" bestFit="1" customWidth="1"/>
    <col min="36" max="36" width="208.140625" style="96" customWidth="1"/>
    <col min="37" max="16384" width="9.140625" style="96"/>
  </cols>
  <sheetData>
    <row r="39" spans="1:2" ht="15.75" thickBot="1" x14ac:dyDescent="0.3"/>
    <row r="40" spans="1:2" ht="15.75" thickBot="1" x14ac:dyDescent="0.3">
      <c r="A40" s="146" t="s">
        <v>465</v>
      </c>
      <c r="B40" s="145" t="s">
        <v>466</v>
      </c>
    </row>
    <row r="41" spans="1:2" ht="30" x14ac:dyDescent="0.25">
      <c r="A41" s="143" t="s">
        <v>472</v>
      </c>
      <c r="B41" s="144" t="s">
        <v>409</v>
      </c>
    </row>
    <row r="42" spans="1:2" ht="45" x14ac:dyDescent="0.25">
      <c r="A42" s="138" t="s">
        <v>471</v>
      </c>
      <c r="B42" s="139" t="s">
        <v>467</v>
      </c>
    </row>
    <row r="43" spans="1:2" x14ac:dyDescent="0.25">
      <c r="A43" s="138" t="s">
        <v>470</v>
      </c>
      <c r="B43" s="139" t="s">
        <v>410</v>
      </c>
    </row>
    <row r="44" spans="1:2" x14ac:dyDescent="0.25">
      <c r="A44" s="138" t="s">
        <v>468</v>
      </c>
      <c r="B44" s="139" t="s">
        <v>411</v>
      </c>
    </row>
    <row r="45" spans="1:2" ht="30" x14ac:dyDescent="0.25">
      <c r="A45" s="138" t="s">
        <v>469</v>
      </c>
      <c r="B45" s="139" t="s">
        <v>412</v>
      </c>
    </row>
    <row r="46" spans="1:2" ht="30" x14ac:dyDescent="0.25">
      <c r="A46" s="140" t="s">
        <v>454</v>
      </c>
      <c r="B46" s="139" t="s">
        <v>413</v>
      </c>
    </row>
    <row r="47" spans="1:2" ht="30" x14ac:dyDescent="0.25">
      <c r="A47" s="140" t="s">
        <v>455</v>
      </c>
      <c r="B47" s="139" t="s">
        <v>414</v>
      </c>
    </row>
    <row r="48" spans="1:2" x14ac:dyDescent="0.25">
      <c r="A48" s="140" t="s">
        <v>364</v>
      </c>
      <c r="B48" s="139" t="s">
        <v>415</v>
      </c>
    </row>
    <row r="49" spans="1:2" x14ac:dyDescent="0.25">
      <c r="A49" s="140" t="s">
        <v>456</v>
      </c>
      <c r="B49" s="139" t="s">
        <v>416</v>
      </c>
    </row>
    <row r="50" spans="1:2" x14ac:dyDescent="0.25">
      <c r="A50" s="140" t="s">
        <v>362</v>
      </c>
      <c r="B50" s="139" t="s">
        <v>417</v>
      </c>
    </row>
    <row r="51" spans="1:2" x14ac:dyDescent="0.25">
      <c r="A51" s="140" t="s">
        <v>361</v>
      </c>
      <c r="B51" s="139" t="s">
        <v>418</v>
      </c>
    </row>
    <row r="52" spans="1:2" x14ac:dyDescent="0.25">
      <c r="A52" s="140" t="s">
        <v>360</v>
      </c>
      <c r="B52" s="139" t="s">
        <v>419</v>
      </c>
    </row>
    <row r="53" spans="1:2" x14ac:dyDescent="0.25">
      <c r="A53" s="140" t="s">
        <v>473</v>
      </c>
      <c r="B53" s="139" t="s">
        <v>420</v>
      </c>
    </row>
    <row r="54" spans="1:2" x14ac:dyDescent="0.25">
      <c r="A54" s="140" t="s">
        <v>89</v>
      </c>
      <c r="B54" s="139" t="s">
        <v>421</v>
      </c>
    </row>
    <row r="55" spans="1:2" x14ac:dyDescent="0.25">
      <c r="A55" s="140" t="s">
        <v>90</v>
      </c>
      <c r="B55" s="139" t="s">
        <v>422</v>
      </c>
    </row>
    <row r="56" spans="1:2" x14ac:dyDescent="0.25">
      <c r="A56" s="140" t="s">
        <v>458</v>
      </c>
      <c r="B56" s="139" t="s">
        <v>423</v>
      </c>
    </row>
    <row r="57" spans="1:2" x14ac:dyDescent="0.25">
      <c r="A57" s="140" t="s">
        <v>457</v>
      </c>
      <c r="B57" s="139" t="s">
        <v>424</v>
      </c>
    </row>
    <row r="58" spans="1:2" x14ac:dyDescent="0.25">
      <c r="A58" s="140" t="s">
        <v>377</v>
      </c>
      <c r="B58" s="139" t="s">
        <v>425</v>
      </c>
    </row>
    <row r="59" spans="1:2" x14ac:dyDescent="0.25">
      <c r="A59" s="140" t="s">
        <v>378</v>
      </c>
      <c r="B59" s="139" t="s">
        <v>426</v>
      </c>
    </row>
    <row r="60" spans="1:2" x14ac:dyDescent="0.25">
      <c r="A60" s="140" t="s">
        <v>459</v>
      </c>
      <c r="B60" s="139" t="s">
        <v>474</v>
      </c>
    </row>
    <row r="61" spans="1:2" x14ac:dyDescent="0.25">
      <c r="A61" s="140" t="s">
        <v>380</v>
      </c>
      <c r="B61" s="139" t="s">
        <v>427</v>
      </c>
    </row>
    <row r="62" spans="1:2" x14ac:dyDescent="0.25">
      <c r="A62" s="140" t="s">
        <v>381</v>
      </c>
      <c r="B62" s="139" t="s">
        <v>428</v>
      </c>
    </row>
    <row r="63" spans="1:2" x14ac:dyDescent="0.25">
      <c r="A63" s="140" t="s">
        <v>382</v>
      </c>
      <c r="B63" s="139" t="s">
        <v>429</v>
      </c>
    </row>
    <row r="64" spans="1:2" x14ac:dyDescent="0.25">
      <c r="A64" s="140" t="s">
        <v>407</v>
      </c>
      <c r="B64" s="139" t="s">
        <v>430</v>
      </c>
    </row>
    <row r="65" spans="1:2" ht="30" x14ac:dyDescent="0.25">
      <c r="A65" s="140" t="s">
        <v>383</v>
      </c>
      <c r="B65" s="139" t="s">
        <v>431</v>
      </c>
    </row>
    <row r="66" spans="1:2" x14ac:dyDescent="0.25">
      <c r="A66" s="140" t="s">
        <v>384</v>
      </c>
      <c r="B66" s="139" t="s">
        <v>432</v>
      </c>
    </row>
    <row r="67" spans="1:2" ht="30" x14ac:dyDescent="0.25">
      <c r="A67" s="140" t="s">
        <v>395</v>
      </c>
      <c r="B67" s="139" t="s">
        <v>433</v>
      </c>
    </row>
    <row r="68" spans="1:2" x14ac:dyDescent="0.25">
      <c r="A68" s="140" t="s">
        <v>396</v>
      </c>
      <c r="B68" s="139" t="s">
        <v>434</v>
      </c>
    </row>
    <row r="69" spans="1:2" x14ac:dyDescent="0.25">
      <c r="A69" s="140" t="s">
        <v>397</v>
      </c>
      <c r="B69" s="139" t="s">
        <v>435</v>
      </c>
    </row>
    <row r="70" spans="1:2" x14ac:dyDescent="0.25">
      <c r="A70" s="140" t="s">
        <v>398</v>
      </c>
      <c r="B70" s="139" t="s">
        <v>436</v>
      </c>
    </row>
    <row r="71" spans="1:2" x14ac:dyDescent="0.25">
      <c r="A71" s="140" t="s">
        <v>385</v>
      </c>
      <c r="B71" s="139" t="s">
        <v>437</v>
      </c>
    </row>
    <row r="72" spans="1:2" x14ac:dyDescent="0.25">
      <c r="A72" s="140" t="s">
        <v>386</v>
      </c>
      <c r="B72" s="139" t="s">
        <v>438</v>
      </c>
    </row>
    <row r="73" spans="1:2" x14ac:dyDescent="0.25">
      <c r="A73" s="140" t="s">
        <v>387</v>
      </c>
      <c r="B73" s="139" t="s">
        <v>439</v>
      </c>
    </row>
    <row r="74" spans="1:2" x14ac:dyDescent="0.25">
      <c r="A74" s="140" t="s">
        <v>394</v>
      </c>
      <c r="B74" s="139" t="s">
        <v>440</v>
      </c>
    </row>
    <row r="75" spans="1:2" x14ac:dyDescent="0.25">
      <c r="A75" s="140" t="s">
        <v>388</v>
      </c>
      <c r="B75" s="139" t="s">
        <v>441</v>
      </c>
    </row>
    <row r="76" spans="1:2" x14ac:dyDescent="0.25">
      <c r="A76" s="140" t="s">
        <v>389</v>
      </c>
      <c r="B76" s="139" t="s">
        <v>442</v>
      </c>
    </row>
    <row r="77" spans="1:2" x14ac:dyDescent="0.25">
      <c r="A77" s="140" t="s">
        <v>390</v>
      </c>
      <c r="B77" s="139" t="s">
        <v>443</v>
      </c>
    </row>
    <row r="78" spans="1:2" ht="30" x14ac:dyDescent="0.25">
      <c r="A78" s="140" t="s">
        <v>392</v>
      </c>
      <c r="B78" s="139" t="s">
        <v>444</v>
      </c>
    </row>
    <row r="79" spans="1:2" ht="30" x14ac:dyDescent="0.25">
      <c r="A79" s="140" t="s">
        <v>391</v>
      </c>
      <c r="B79" s="139" t="s">
        <v>445</v>
      </c>
    </row>
    <row r="80" spans="1:2" x14ac:dyDescent="0.25">
      <c r="A80" s="140" t="s">
        <v>393</v>
      </c>
      <c r="B80" s="139" t="s">
        <v>446</v>
      </c>
    </row>
    <row r="81" spans="1:2" x14ac:dyDescent="0.25">
      <c r="A81" s="140" t="s">
        <v>460</v>
      </c>
      <c r="B81" s="139" t="s">
        <v>447</v>
      </c>
    </row>
    <row r="82" spans="1:2" x14ac:dyDescent="0.25">
      <c r="A82" s="140" t="s">
        <v>399</v>
      </c>
      <c r="B82" s="139" t="s">
        <v>448</v>
      </c>
    </row>
    <row r="83" spans="1:2" x14ac:dyDescent="0.25">
      <c r="A83" s="140" t="s">
        <v>400</v>
      </c>
      <c r="B83" s="139" t="s">
        <v>449</v>
      </c>
    </row>
    <row r="84" spans="1:2" x14ac:dyDescent="0.25">
      <c r="A84" s="140" t="s">
        <v>401</v>
      </c>
      <c r="B84" s="139" t="s">
        <v>450</v>
      </c>
    </row>
    <row r="85" spans="1:2" x14ac:dyDescent="0.25">
      <c r="A85" s="140" t="s">
        <v>402</v>
      </c>
      <c r="B85" s="139" t="s">
        <v>451</v>
      </c>
    </row>
    <row r="86" spans="1:2" x14ac:dyDescent="0.25">
      <c r="A86" s="140" t="s">
        <v>403</v>
      </c>
      <c r="B86" s="139" t="s">
        <v>452</v>
      </c>
    </row>
    <row r="87" spans="1:2" x14ac:dyDescent="0.25">
      <c r="A87" s="140" t="s">
        <v>404</v>
      </c>
      <c r="B87" s="139" t="s">
        <v>461</v>
      </c>
    </row>
    <row r="88" spans="1:2" x14ac:dyDescent="0.25">
      <c r="A88" s="140" t="s">
        <v>405</v>
      </c>
      <c r="B88" s="139" t="s">
        <v>462</v>
      </c>
    </row>
    <row r="89" spans="1:2" ht="30.75" thickBot="1" x14ac:dyDescent="0.3">
      <c r="A89" s="141" t="s">
        <v>406</v>
      </c>
      <c r="B89" s="142" t="s">
        <v>453</v>
      </c>
    </row>
  </sheetData>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550DB-68A6-48A3-865F-0CD6DF8AE40D}">
  <dimension ref="E1:AD477"/>
  <sheetViews>
    <sheetView topLeftCell="A4" zoomScale="85" zoomScaleNormal="85" workbookViewId="0">
      <selection activeCell="AG18" sqref="AG18"/>
    </sheetView>
  </sheetViews>
  <sheetFormatPr defaultRowHeight="15" x14ac:dyDescent="0.25"/>
  <cols>
    <col min="5" max="5" width="35.42578125" customWidth="1"/>
    <col min="7" max="7" width="35.42578125" bestFit="1" customWidth="1"/>
    <col min="28" max="28" width="9.140625" style="158"/>
  </cols>
  <sheetData>
    <row r="1" spans="6:30" x14ac:dyDescent="0.25">
      <c r="H1">
        <v>1</v>
      </c>
      <c r="I1" t="s">
        <v>185</v>
      </c>
      <c r="J1" t="s">
        <v>186</v>
      </c>
      <c r="L1">
        <v>2</v>
      </c>
      <c r="M1" t="s">
        <v>187</v>
      </c>
      <c r="N1" t="s">
        <v>188</v>
      </c>
      <c r="P1">
        <v>3</v>
      </c>
      <c r="Q1" t="s">
        <v>189</v>
      </c>
      <c r="R1" t="s">
        <v>190</v>
      </c>
      <c r="T1">
        <v>4</v>
      </c>
      <c r="U1" t="s">
        <v>191</v>
      </c>
      <c r="V1" t="s">
        <v>192</v>
      </c>
      <c r="X1">
        <v>5</v>
      </c>
      <c r="Y1" t="s">
        <v>193</v>
      </c>
      <c r="Z1" t="s">
        <v>194</v>
      </c>
      <c r="AB1" s="158" t="s">
        <v>480</v>
      </c>
      <c r="AC1" t="s">
        <v>481</v>
      </c>
      <c r="AD1" t="s">
        <v>482</v>
      </c>
    </row>
    <row r="2" spans="6:30" x14ac:dyDescent="0.25">
      <c r="F2" t="s">
        <v>0</v>
      </c>
      <c r="H2" s="1">
        <v>0</v>
      </c>
      <c r="I2" s="1">
        <v>0</v>
      </c>
      <c r="J2" s="1">
        <v>0</v>
      </c>
      <c r="K2" s="1"/>
      <c r="L2" s="1">
        <v>0</v>
      </c>
      <c r="M2" s="1">
        <v>0</v>
      </c>
      <c r="N2" s="1">
        <v>0</v>
      </c>
      <c r="O2" s="1"/>
      <c r="P2" s="1">
        <v>0</v>
      </c>
      <c r="Q2" s="1">
        <v>0</v>
      </c>
      <c r="R2" s="1">
        <v>0</v>
      </c>
      <c r="S2" s="1"/>
      <c r="T2" s="1">
        <v>0</v>
      </c>
      <c r="U2" s="1">
        <v>0</v>
      </c>
      <c r="V2" s="1">
        <v>0</v>
      </c>
      <c r="W2" s="1"/>
      <c r="X2" s="1">
        <v>0</v>
      </c>
      <c r="Y2" s="1">
        <v>0</v>
      </c>
      <c r="Z2" s="1">
        <v>0</v>
      </c>
      <c r="AB2" s="159">
        <v>0</v>
      </c>
      <c r="AC2" s="1">
        <v>0</v>
      </c>
      <c r="AD2" s="1">
        <v>0</v>
      </c>
    </row>
    <row r="3" spans="6:30" x14ac:dyDescent="0.25">
      <c r="F3" t="s">
        <v>39</v>
      </c>
      <c r="H3" s="1">
        <v>0</v>
      </c>
      <c r="I3" s="1">
        <v>0</v>
      </c>
      <c r="J3" s="1">
        <v>0</v>
      </c>
      <c r="K3" s="1"/>
      <c r="L3" s="1">
        <v>0</v>
      </c>
      <c r="M3" s="1">
        <v>0</v>
      </c>
      <c r="N3" s="1">
        <v>0</v>
      </c>
      <c r="O3" s="1"/>
      <c r="P3" s="1">
        <v>0</v>
      </c>
      <c r="Q3" s="1">
        <v>0</v>
      </c>
      <c r="R3" s="1">
        <v>0</v>
      </c>
      <c r="S3" s="1"/>
      <c r="T3" s="1">
        <v>0</v>
      </c>
      <c r="U3" s="1">
        <v>0</v>
      </c>
      <c r="V3" s="1">
        <v>0</v>
      </c>
      <c r="W3" s="1"/>
      <c r="X3" s="1">
        <v>0</v>
      </c>
      <c r="Y3" s="1">
        <v>0</v>
      </c>
      <c r="Z3" s="1">
        <v>0</v>
      </c>
      <c r="AB3" s="159">
        <v>0</v>
      </c>
      <c r="AC3" s="1">
        <v>0</v>
      </c>
      <c r="AD3" s="1">
        <v>0</v>
      </c>
    </row>
    <row r="4" spans="6:30" x14ac:dyDescent="0.25">
      <c r="F4" t="s">
        <v>40</v>
      </c>
      <c r="H4" s="1">
        <f t="shared" ref="H4:J4" si="0">H2</f>
        <v>0</v>
      </c>
      <c r="I4" s="1">
        <f t="shared" si="0"/>
        <v>0</v>
      </c>
      <c r="J4" s="1">
        <f t="shared" si="0"/>
        <v>0</v>
      </c>
      <c r="K4" s="1"/>
      <c r="L4" s="1">
        <f t="shared" ref="L4:N4" si="1">L2</f>
        <v>0</v>
      </c>
      <c r="M4" s="1">
        <f t="shared" si="1"/>
        <v>0</v>
      </c>
      <c r="N4" s="1">
        <f t="shared" si="1"/>
        <v>0</v>
      </c>
      <c r="O4" s="1"/>
      <c r="P4" s="1">
        <f t="shared" ref="P4:R4" si="2">P2</f>
        <v>0</v>
      </c>
      <c r="Q4" s="1">
        <f t="shared" si="2"/>
        <v>0</v>
      </c>
      <c r="R4" s="1">
        <f t="shared" si="2"/>
        <v>0</v>
      </c>
      <c r="S4" s="1"/>
      <c r="T4" s="1">
        <f t="shared" ref="T4:V4" si="3">T2</f>
        <v>0</v>
      </c>
      <c r="U4" s="1">
        <f t="shared" si="3"/>
        <v>0</v>
      </c>
      <c r="V4" s="1">
        <f t="shared" si="3"/>
        <v>0</v>
      </c>
      <c r="W4" s="1"/>
      <c r="X4" s="1">
        <f t="shared" ref="X4:Z4" si="4">X2</f>
        <v>0</v>
      </c>
      <c r="Y4" s="1">
        <f t="shared" si="4"/>
        <v>0</v>
      </c>
      <c r="Z4" s="1">
        <f t="shared" si="4"/>
        <v>0</v>
      </c>
      <c r="AB4" s="159">
        <f t="shared" ref="AB4:AD4" si="5">AB2</f>
        <v>0</v>
      </c>
      <c r="AC4" s="1">
        <f t="shared" si="5"/>
        <v>0</v>
      </c>
      <c r="AD4" s="1">
        <f t="shared" si="5"/>
        <v>0</v>
      </c>
    </row>
    <row r="5" spans="6:30" x14ac:dyDescent="0.25">
      <c r="F5" t="s">
        <v>41</v>
      </c>
      <c r="H5" s="1">
        <f>H3-'Geometry Calculator'!H10/2</f>
        <v>-370</v>
      </c>
      <c r="I5" s="1">
        <f>I3-'Geometry Calculator'!J10/2</f>
        <v>-370</v>
      </c>
      <c r="J5" s="1">
        <f>-'Geometry Calculator'!J10/2</f>
        <v>-370</v>
      </c>
      <c r="K5" s="1"/>
      <c r="L5" s="1">
        <f>L3-'Geometry Calculator'!L10/2</f>
        <v>-377</v>
      </c>
      <c r="M5" s="1">
        <f>M3-'Geometry Calculator'!N10/2</f>
        <v>-377</v>
      </c>
      <c r="N5" s="1">
        <f>-'Geometry Calculator'!N10/2</f>
        <v>-377</v>
      </c>
      <c r="O5" s="1"/>
      <c r="P5" s="1">
        <f>P3-'Geometry Calculator'!P10/2</f>
        <v>-363</v>
      </c>
      <c r="Q5" s="1">
        <f>Q3-'Geometry Calculator'!R10/2</f>
        <v>-363</v>
      </c>
      <c r="R5" s="1">
        <f>-'Geometry Calculator'!R10/2</f>
        <v>-363</v>
      </c>
      <c r="S5" s="1"/>
      <c r="T5" s="1">
        <f>T3-'Geometry Calculator'!T10/2</f>
        <v>-372</v>
      </c>
      <c r="U5" s="1">
        <f>U3-'Geometry Calculator'!V10/2</f>
        <v>-372</v>
      </c>
      <c r="V5" s="1">
        <f>-'Geometry Calculator'!V10/2</f>
        <v>-372</v>
      </c>
      <c r="W5" s="1"/>
      <c r="X5" s="1">
        <f>X3-'Geometry Calculator'!X10/2</f>
        <v>-382.5</v>
      </c>
      <c r="Y5" s="1">
        <f>Y3-'Geometry Calculator'!Z10/2</f>
        <v>-382.5</v>
      </c>
      <c r="Z5" s="1">
        <f>-'Geometry Calculator'!Z10/2</f>
        <v>-382.5</v>
      </c>
      <c r="AB5" s="159">
        <f>AB3-'Sagged Hardtail Calculator'!D8/2</f>
        <v>-375</v>
      </c>
      <c r="AC5" s="1">
        <f>AC3-'Sagged Hardtail Calculator'!E8/2</f>
        <v>-375</v>
      </c>
      <c r="AD5" s="1">
        <f>-'Sagged Hardtail Calculator'!E8/2</f>
        <v>-375</v>
      </c>
    </row>
    <row r="6" spans="6:30" x14ac:dyDescent="0.25">
      <c r="F6" t="s">
        <v>3</v>
      </c>
      <c r="H6" s="1">
        <f>IF('Geometry Calculator'!H17="Chainstay Length",SQRT('Geometry Calculator'!H19^2-'Geometry Calculator'!H21^2),'Geometry Calculator'!H20)</f>
        <v>436.48059521586981</v>
      </c>
      <c r="I6" s="1">
        <f>H6+'Geometry Calculator'!K8</f>
        <v>446.48059521586981</v>
      </c>
      <c r="J6" s="1">
        <f>I6*COS(I20)-I7*SIN(I20)</f>
        <v>446.70673786560144</v>
      </c>
      <c r="K6" s="1"/>
      <c r="L6" s="1">
        <f>IF('Geometry Calculator'!L17="Chainstay Length",SQRT('Geometry Calculator'!L19^2-'Geometry Calculator'!L21^2),'Geometry Calculator'!L20)</f>
        <v>424.45141064673118</v>
      </c>
      <c r="M6" s="1">
        <f>L6+'Geometry Calculator'!O8</f>
        <v>424.45141064673118</v>
      </c>
      <c r="N6" s="1">
        <f>M6*COS(M20)-M7*SIN(M20)</f>
        <v>424.45141064673118</v>
      </c>
      <c r="O6" s="1"/>
      <c r="P6" s="1">
        <f>IF('Geometry Calculator'!P17="Chainstay Length",SQRT('Geometry Calculator'!P19^2-'Geometry Calculator'!P21^2),'Geometry Calculator'!P20)</f>
        <v>411.33927602406266</v>
      </c>
      <c r="Q6" s="1">
        <f>P6+'Geometry Calculator'!S8</f>
        <v>411.33927602406266</v>
      </c>
      <c r="R6" s="1">
        <f>Q6*COS(Q20)-Q7*SIN(Q20)</f>
        <v>412.36094139732887</v>
      </c>
      <c r="S6" s="1"/>
      <c r="T6" s="1">
        <f>IF('Geometry Calculator'!T17="Chainstay Length",SQRT('Geometry Calculator'!T19^2-'Geometry Calculator'!T21^2),'Geometry Calculator'!T20)</f>
        <v>433.58966777357597</v>
      </c>
      <c r="U6" s="1">
        <f>T6+'Geometry Calculator'!W8</f>
        <v>433.58966777357597</v>
      </c>
      <c r="V6" s="1">
        <f>U6*COS(U20)-U7*SIN(U20)</f>
        <v>433.31307733168836</v>
      </c>
      <c r="W6" s="1"/>
      <c r="X6" s="1">
        <f>IF('Geometry Calculator'!X17="Chainstay Length",SQRT('Geometry Calculator'!X19^2-'Geometry Calculator'!X21^2),'Geometry Calculator'!X20)</f>
        <v>469.85928744678444</v>
      </c>
      <c r="Y6" s="1">
        <f>X6+'Geometry Calculator'!AA8</f>
        <v>469.85928744678444</v>
      </c>
      <c r="Z6" s="1">
        <f>Y6*COS(Y20)-Y7*SIN(Y20)</f>
        <v>469.75842335709541</v>
      </c>
      <c r="AB6" s="159">
        <f>IF('Sagged Hardtail Calculator'!D15="Chainstay Length",SQRT('Sagged Hardtail Calculator'!D17^2-'Sagged Hardtail Calculator'!D19^2),'Sagged Hardtail Calculator'!D18)</f>
        <v>433.33705126610164</v>
      </c>
      <c r="AC6" s="1">
        <f>AB6</f>
        <v>433.33705126610164</v>
      </c>
      <c r="AD6" s="1">
        <f>AC6*COS(AC20)-AC7*SIN(AC20)</f>
        <v>431.99966949419121</v>
      </c>
    </row>
    <row r="7" spans="6:30" x14ac:dyDescent="0.25">
      <c r="F7" t="s">
        <v>5</v>
      </c>
      <c r="H7" s="1">
        <f>H3-'Geometry Calculator'!H21</f>
        <v>-21.3</v>
      </c>
      <c r="I7" s="1">
        <f>H7</f>
        <v>-21.3</v>
      </c>
      <c r="J7" s="1">
        <f>I6*SIN(I20)+I7*COS(I20)</f>
        <v>-15.865126844442461</v>
      </c>
      <c r="K7" s="1"/>
      <c r="L7" s="1">
        <f>L3-'Geometry Calculator'!L21</f>
        <v>-55</v>
      </c>
      <c r="M7" s="1">
        <f>L7</f>
        <v>-55</v>
      </c>
      <c r="N7" s="1">
        <f>M6*SIN(M20)+M7*COS(M20)</f>
        <v>-55</v>
      </c>
      <c r="O7" s="1"/>
      <c r="P7" s="1">
        <f>P3-'Geometry Calculator'!P21</f>
        <v>-55</v>
      </c>
      <c r="Q7" s="1">
        <f>P7</f>
        <v>-55</v>
      </c>
      <c r="R7" s="1">
        <f>Q6*SIN(Q20)+Q7*COS(Q20)</f>
        <v>-46.727443862346348</v>
      </c>
      <c r="S7" s="1"/>
      <c r="T7" s="1">
        <f>T3-'Geometry Calculator'!T21</f>
        <v>-35</v>
      </c>
      <c r="U7" s="1">
        <f>T7</f>
        <v>-35</v>
      </c>
      <c r="V7" s="1">
        <f>U6*SIN(U20)+U7*COS(U20)</f>
        <v>-38.272405377010578</v>
      </c>
      <c r="W7" s="1"/>
      <c r="X7" s="1">
        <f>X3-'Geometry Calculator'!X21</f>
        <v>-11.5</v>
      </c>
      <c r="Y7" s="1">
        <f>X7</f>
        <v>-11.5</v>
      </c>
      <c r="Z7" s="1">
        <f>Y6*SIN(Y20)+Y7*COS(Y20)</f>
        <v>-15.067305169004632</v>
      </c>
      <c r="AB7" s="159">
        <f>AB3-'Sagged Hardtail Calculator'!D19</f>
        <v>-38</v>
      </c>
      <c r="AC7" s="1">
        <f>AB7</f>
        <v>-38</v>
      </c>
      <c r="AD7" s="1">
        <f>AC6*SIN(AC20)+AC7*COS(AC20)</f>
        <v>-51.002799500709671</v>
      </c>
    </row>
    <row r="8" spans="6:30" x14ac:dyDescent="0.25">
      <c r="F8" t="s">
        <v>17</v>
      </c>
      <c r="H8" s="1">
        <f>H6+'Geometry Calculator'!H12+'Geometry Calculator'!H25*COS(RADIANS(360-'Geometry Calculator'!H14))</f>
        <v>943.14192683286524</v>
      </c>
      <c r="I8" s="1">
        <f>H8+'Geometry Calculator'!K8+'Geometry Calculator'!K6*COS(RADIANS(90-'Geometry Calculator'!H14))+'Geometry Calculator'!K7*COS(RADIANS(360-'Geometry Calculator'!H14))</f>
        <v>953.14192683286524</v>
      </c>
      <c r="J8" s="1">
        <f>I8*COS(I20)-I9*SIN(I20)</f>
        <v>947.01853146346787</v>
      </c>
      <c r="K8" s="1"/>
      <c r="L8" s="1">
        <f>L6+'Geometry Calculator'!L12+'Geometry Calculator'!L25*COS(RADIANS(360-'Geometry Calculator'!L14))</f>
        <v>945.16560205561507</v>
      </c>
      <c r="M8" s="1">
        <f>L8+'Geometry Calculator'!O8+'Geometry Calculator'!O6*COS(RADIANS(90-'Geometry Calculator'!L14))+'Geometry Calculator'!O7*COS(RADIANS(360-'Geometry Calculator'!L14))</f>
        <v>945.16560205561507</v>
      </c>
      <c r="N8" s="1">
        <f>M8*COS(M20)-M9*SIN(M20)</f>
        <v>945.16560205561507</v>
      </c>
      <c r="O8" s="1"/>
      <c r="P8" s="1">
        <f>P6+'Geometry Calculator'!P12+'Geometry Calculator'!P25*COS(RADIANS(360-'Geometry Calculator'!P14))</f>
        <v>906.29206723397215</v>
      </c>
      <c r="Q8" s="1">
        <f>P8+'Geometry Calculator'!S8+'Geometry Calculator'!S6*COS(RADIANS(90-'Geometry Calculator'!P14))+'Geometry Calculator'!S7*COS(RADIANS(360-'Geometry Calculator'!P14))</f>
        <v>906.29206723397215</v>
      </c>
      <c r="R8" s="1">
        <f>Q8*COS(Q20)-Q9*SIN(Q20)</f>
        <v>896.93599662385589</v>
      </c>
      <c r="S8" s="1"/>
      <c r="T8" s="1">
        <f>T6+'Geometry Calculator'!T12+'Geometry Calculator'!T25*COS(RADIANS(360-'Geometry Calculator'!T14))</f>
        <v>939.45206535535294</v>
      </c>
      <c r="U8" s="1">
        <f>T8+'Geometry Calculator'!W8+'Geometry Calculator'!W6*COS(RADIANS(90-'Geometry Calculator'!T14))+'Geometry Calculator'!W7*COS(RADIANS(360-'Geometry Calculator'!T14))</f>
        <v>939.45206535535294</v>
      </c>
      <c r="V8" s="1">
        <f>U8*COS(U20)-U9*SIN(U20)</f>
        <v>943.02735510587104</v>
      </c>
      <c r="W8" s="1"/>
      <c r="X8" s="1">
        <f>X6+'Geometry Calculator'!X12+'Geometry Calculator'!X25*COS(RADIANS(360-'Geometry Calculator'!X14))</f>
        <v>933.55814459085309</v>
      </c>
      <c r="Y8" s="1">
        <f>X8+'Geometry Calculator'!AA8+'Geometry Calculator'!AA6*COS(RADIANS(90-'Geometry Calculator'!X14))+'Geometry Calculator'!AA7*COS(RADIANS(360-'Geometry Calculator'!X14))</f>
        <v>933.55814459085309</v>
      </c>
      <c r="Z8" s="1">
        <f>Y8*COS(Y20)-Y9*SIN(Y20)</f>
        <v>937.25913324109013</v>
      </c>
      <c r="AB8" s="159">
        <f>AB6+'Sagged Hardtail Calculator'!D10+'Sagged Hardtail Calculator'!D23*COS(RADIANS(360-'Sagged Hardtail Calculator'!D12))</f>
        <v>964.05124267498559</v>
      </c>
      <c r="AC8" s="1">
        <f>AB8</f>
        <v>964.05124267498559</v>
      </c>
      <c r="AD8" s="1">
        <f>AC8*COS(AC20)-AC9*SIN(AC20)</f>
        <v>978.10537156173746</v>
      </c>
    </row>
    <row r="9" spans="6:30" x14ac:dyDescent="0.25">
      <c r="F9" t="s">
        <v>19</v>
      </c>
      <c r="H9" s="1">
        <f>H7+'Geometry Calculator'!H13+'Geometry Calculator'!H25*SIN(RADIANS(360-'Geometry Calculator'!H14))</f>
        <v>497.38976587801676</v>
      </c>
      <c r="I9" s="1">
        <f>H9+'Geometry Calculator'!K6*SIN(RADIANS(90-'Geometry Calculator'!H14))+'Geometry Calculator'!K7*SIN(RADIANS(360-'Geometry Calculator'!H14))</f>
        <v>497.38976587801676</v>
      </c>
      <c r="J9" s="1">
        <f>I8*SIN(I20)+I9*COS(I20)</f>
        <v>508.95187685245071</v>
      </c>
      <c r="K9" s="1"/>
      <c r="L9" s="1">
        <f>L7+'Geometry Calculator'!L13+'Geometry Calculator'!L25*SIN(RADIANS(360-'Geometry Calculator'!L14))</f>
        <v>475.24306555560202</v>
      </c>
      <c r="M9" s="1">
        <f>L9+'Geometry Calculator'!O6*SIN(RADIANS(90-'Geometry Calculator'!L14))+'Geometry Calculator'!O7*SIN(RADIANS(360-'Geometry Calculator'!L14))</f>
        <v>475.24306555560202</v>
      </c>
      <c r="N9" s="1">
        <f>M8*SIN(M20)+M9*COS(M20)</f>
        <v>475.24306555560202</v>
      </c>
      <c r="O9" s="1"/>
      <c r="P9" s="1">
        <f>P7+'Geometry Calculator'!P13+'Geometry Calculator'!P25*SIN(RADIANS(360-'Geometry Calculator'!P14))</f>
        <v>456.73793745198554</v>
      </c>
      <c r="Q9" s="1">
        <f>P9+'Geometry Calculator'!S6*SIN(RADIANS(90-'Geometry Calculator'!P14))+'Geometry Calculator'!S7*SIN(RADIANS(360-'Geometry Calculator'!P14))</f>
        <v>456.73793745198554</v>
      </c>
      <c r="R9" s="1">
        <f>Q8*SIN(Q20)+Q9*COS(Q20)</f>
        <v>474.8480521171914</v>
      </c>
      <c r="S9" s="1"/>
      <c r="T9" s="1">
        <f>T7+'Geometry Calculator'!T13+'Geometry Calculator'!T25*SIN(RADIANS(360-'Geometry Calculator'!T14))</f>
        <v>477.12339181763639</v>
      </c>
      <c r="U9" s="1">
        <f>T9+'Geometry Calculator'!W6*SIN(RADIANS(90-'Geometry Calculator'!T14))+'Geometry Calculator'!W7*SIN(RADIANS(360-'Geometry Calculator'!T14))</f>
        <v>477.12339181763639</v>
      </c>
      <c r="V9" s="1">
        <f>U8*SIN(U20)+U9*COS(U20)</f>
        <v>470.0173631282463</v>
      </c>
      <c r="W9" s="1"/>
      <c r="X9" s="1">
        <f>X7+'Geometry Calculator'!X13+'Geometry Calculator'!X25*SIN(RADIANS(360-'Geometry Calculator'!X14))</f>
        <v>490.96609890631765</v>
      </c>
      <c r="Y9" s="1">
        <f>X9+'Geometry Calculator'!AA6*SIN(RADIANS(90-'Geometry Calculator'!X14))+'Geometry Calculator'!AA7*SIN(RADIANS(360-'Geometry Calculator'!X14))</f>
        <v>490.96609890631765</v>
      </c>
      <c r="Z9" s="1">
        <f>Y8*SIN(Y20)+Y9*COS(Y20)</f>
        <v>483.86344846802035</v>
      </c>
      <c r="AB9" s="159">
        <f>AB7+'Sagged Hardtail Calculator'!D11+'Sagged Hardtail Calculator'!D23*SIN(RADIANS(360-'Sagged Hardtail Calculator'!D12))</f>
        <v>482.24306555560202</v>
      </c>
      <c r="AC9" s="155">
        <f>AB9</f>
        <v>482.24306555560202</v>
      </c>
      <c r="AD9" s="1">
        <f>AC8*SIN(AC20)+AC9*COS(AC20)</f>
        <v>453.05965931842155</v>
      </c>
    </row>
    <row r="10" spans="6:30" x14ac:dyDescent="0.25">
      <c r="F10" t="s">
        <v>13</v>
      </c>
      <c r="H10" s="1">
        <f>H8+'Geometry Calculator'!H25*COS(RADIANS(180-'Geometry Calculator'!H14))</f>
        <v>891.48059521586981</v>
      </c>
      <c r="I10" s="1">
        <f>I8+('Geometry Calculator'!H25+'Geometry Calculator'!K7)/COS(RADIANS('Geometry Calculator'!K5))*COS(RADIANS(180-('Geometry Calculator'!H14+'Geometry Calculator'!K5)))</f>
        <v>897.69831849649881</v>
      </c>
      <c r="J10" s="1">
        <f>I10*COS(I20)-I11*SIN(I20)</f>
        <v>890.28293729417851</v>
      </c>
      <c r="K10" s="1"/>
      <c r="L10" s="1">
        <f>L8+'Geometry Calculator'!L25*COS(RADIANS(180-'Geometry Calculator'!L14))</f>
        <v>894.45141064673112</v>
      </c>
      <c r="M10" s="1">
        <f>M8+('Geometry Calculator'!L25+'Geometry Calculator'!O7)/COS(RADIANS('Geometry Calculator'!O5))*COS(RADIANS(180-('Geometry Calculator'!L14+'Geometry Calculator'!O5)))</f>
        <v>894.45141064673112</v>
      </c>
      <c r="N10" s="1">
        <f>M10*COS(M20)-M11*SIN(M20)</f>
        <v>894.45141064673112</v>
      </c>
      <c r="O10" s="1"/>
      <c r="P10" s="1">
        <f>P8+'Geometry Calculator'!P25*COS(RADIANS(180-'Geometry Calculator'!P14))</f>
        <v>861.33927602406266</v>
      </c>
      <c r="Q10" s="1">
        <f>Q8+('Geometry Calculator'!P25+'Geometry Calculator'!S7)/COS(RADIANS('Geometry Calculator'!S5))*COS(RADIANS(180-('Geometry Calculator'!P14+'Geometry Calculator'!S5)))</f>
        <v>858.42577638055445</v>
      </c>
      <c r="R10" s="1">
        <f>Q10*COS(Q20)-Q11*SIN(Q20)</f>
        <v>846.8683818918023</v>
      </c>
      <c r="S10" s="1"/>
      <c r="T10" s="1">
        <f>T8+'Geometry Calculator'!T25*COS(RADIANS(180-'Geometry Calculator'!T14))</f>
        <v>895.58966777357591</v>
      </c>
      <c r="U10" s="1">
        <f>U8+('Geometry Calculator'!T25+'Geometry Calculator'!W7)/COS(RADIANS('Geometry Calculator'!W5))*COS(RADIANS(180-('Geometry Calculator'!T14+'Geometry Calculator'!W5)))</f>
        <v>892.0669789921302</v>
      </c>
      <c r="V10" s="1">
        <f>U10*COS(U20)-U11*SIN(U20)</f>
        <v>896.39362748695271</v>
      </c>
      <c r="W10" s="1"/>
      <c r="X10" s="1">
        <f>X8+'Geometry Calculator'!X25*COS(RADIANS(180-'Geometry Calculator'!X14))</f>
        <v>884.85928744678449</v>
      </c>
      <c r="Y10" s="1">
        <f>Y8+('Geometry Calculator'!X25+'Geometry Calculator'!AA7)/COS(RADIANS('Geometry Calculator'!AA5))*COS(RADIANS(180-('Geometry Calculator'!X14+'Geometry Calculator'!AA5)))</f>
        <v>880.65015087075096</v>
      </c>
      <c r="Z10" s="1">
        <f>Y10*COS(Y20)-Y11*SIN(Y20)</f>
        <v>885.25496471527026</v>
      </c>
      <c r="AB10" s="160">
        <f>AB8+'Sagged Hardtail Calculator'!D23*COS(RADIANS(180-'Sagged Hardtail Calculator'!D12))</f>
        <v>913.33705126610164</v>
      </c>
      <c r="AC10" s="1">
        <f>AC8+('Sagged Hardtail Calculator'!D23)*COS(RADIANS(180-('Sagged Hardtail Calculator'!D12)))</f>
        <v>913.33705126610164</v>
      </c>
      <c r="AD10" s="154">
        <f>AC10*COS(AC20)-AC11*SIN(AC20)</f>
        <v>930.68176484138348</v>
      </c>
    </row>
    <row r="11" spans="6:30" x14ac:dyDescent="0.25">
      <c r="F11" t="s">
        <v>15</v>
      </c>
      <c r="H11" s="1">
        <f>H9+'Geometry Calculator'!H25*SIN(RADIANS(180-'Geometry Calculator'!H14))</f>
        <v>605.70000000000005</v>
      </c>
      <c r="I11" s="1">
        <f>I9+('Geometry Calculator'!H25+'Geometry Calculator'!K7)/COS(RADIANS('Geometry Calculator'!K5))*SIN(RADIANS(180-('Geometry Calculator'!H14+'Geometry Calculator'!K5)))</f>
        <v>603.89594654696623</v>
      </c>
      <c r="J11" s="1">
        <f>I10*SIN(I20)+I11*COS(I20)</f>
        <v>614.77546864700753</v>
      </c>
      <c r="K11" s="1"/>
      <c r="L11" s="1">
        <f>L9+'Geometry Calculator'!L25*SIN(RADIANS(180-'Geometry Calculator'!L14))</f>
        <v>584</v>
      </c>
      <c r="M11" s="1">
        <f>M9+('Geometry Calculator'!L25+'Geometry Calculator'!O7)/COS(RADIANS('Geometry Calculator'!O5))*SIN(RADIANS(180-('Geometry Calculator'!L14+'Geometry Calculator'!O5)))</f>
        <v>584</v>
      </c>
      <c r="N11" s="1">
        <f>M10*SIN(M20)+M11*COS(M20)</f>
        <v>584</v>
      </c>
      <c r="O11" s="1"/>
      <c r="P11" s="1">
        <f>P9+'Geometry Calculator'!P25*SIN(RADIANS(180-'Geometry Calculator'!P14))</f>
        <v>568</v>
      </c>
      <c r="Q11" s="1">
        <f>Q9+('Geometry Calculator'!P25+'Geometry Calculator'!S7)/COS(RADIANS('Geometry Calculator'!S5))*SIN(RADIANS(180-('Geometry Calculator'!P14+'Geometry Calculator'!S5)))</f>
        <v>566.82286973506132</v>
      </c>
      <c r="R11" s="1">
        <f>Q10*SIN(Q20)+Q11*COS(Q20)</f>
        <v>583.94941815298398</v>
      </c>
      <c r="S11" s="1"/>
      <c r="T11" s="1">
        <f>T9+'Geometry Calculator'!T25*SIN(RADIANS(180-'Geometry Calculator'!T14))</f>
        <v>578</v>
      </c>
      <c r="U11" s="1">
        <f>U9+('Geometry Calculator'!T25+'Geometry Calculator'!W7)/COS(RADIANS('Geometry Calculator'!W5))*SIN(RADIANS(180-('Geometry Calculator'!T14+'Geometry Calculator'!W5)))</f>
        <v>576.46829132469145</v>
      </c>
      <c r="V11" s="1">
        <f>U10*SIN(U20)+U11*COS(U20)</f>
        <v>569.71716712043815</v>
      </c>
      <c r="W11" s="1"/>
      <c r="X11" s="1">
        <f>X9+'Geometry Calculator'!X25*SIN(RADIANS(180-'Geometry Calculator'!X14))</f>
        <v>611.5</v>
      </c>
      <c r="Y11" s="1">
        <f>Y9+('Geometry Calculator'!X25+'Geometry Calculator'!AA7)/COS(RADIANS('Geometry Calculator'!AA5))*SIN(RADIANS(180-('Geometry Calculator'!X14+'Geometry Calculator'!AA5)))</f>
        <v>609.79939843516047</v>
      </c>
      <c r="Z11" s="1">
        <f>Y10*SIN(Y20)+Y11*COS(Y20)</f>
        <v>603.09505221608777</v>
      </c>
      <c r="AB11" s="159">
        <f>AB9+'Sagged Hardtail Calculator'!D23*SIN(RADIANS(180-'Sagged Hardtail Calculator'!D12))</f>
        <v>591</v>
      </c>
      <c r="AC11" s="156">
        <f>AC9+('Sagged Hardtail Calculator'!D23)*SIN(RADIANS(180-('Sagged Hardtail Calculator'!D12)))</f>
        <v>591</v>
      </c>
      <c r="AD11" s="1">
        <f>AC10*SIN(AC20)+AC11*COS(AC20)</f>
        <v>563.29124066257725</v>
      </c>
    </row>
    <row r="12" spans="6:30" x14ac:dyDescent="0.25">
      <c r="F12" t="s">
        <v>42</v>
      </c>
      <c r="H12" s="1">
        <f>H11</f>
        <v>605.70000000000005</v>
      </c>
      <c r="I12" s="1">
        <f>H12</f>
        <v>605.70000000000005</v>
      </c>
      <c r="J12" s="1">
        <f>I13*SIN(I20)+I12*COS(I20)</f>
        <v>609.27070746400273</v>
      </c>
      <c r="K12" s="1"/>
      <c r="L12" s="1">
        <f>L11</f>
        <v>584</v>
      </c>
      <c r="M12" s="1">
        <f>L12</f>
        <v>584</v>
      </c>
      <c r="N12" s="1">
        <f>M13*SIN(M20)+M12*COS(M20)</f>
        <v>584</v>
      </c>
      <c r="O12" s="1"/>
      <c r="P12" s="1">
        <f>P11</f>
        <v>568</v>
      </c>
      <c r="Q12" s="1">
        <f>P12</f>
        <v>568</v>
      </c>
      <c r="R12" s="1">
        <f>Q13*SIN(Q20)+Q12*COS(Q20)</f>
        <v>572.79417124515794</v>
      </c>
      <c r="S12" s="1"/>
      <c r="T12" s="1">
        <f>T11</f>
        <v>578</v>
      </c>
      <c r="U12" s="1">
        <f>T12</f>
        <v>578</v>
      </c>
      <c r="V12" s="1">
        <f>U13*SIN(U20)+U12*COS(U20)</f>
        <v>575.99354672949426</v>
      </c>
      <c r="W12" s="1"/>
      <c r="X12" s="1">
        <f>X11</f>
        <v>611.5</v>
      </c>
      <c r="Y12" s="1">
        <f>X12</f>
        <v>611.5</v>
      </c>
      <c r="Z12" s="1">
        <f>Y13*SIN(Y20)+Y12*COS(Y20)</f>
        <v>609.18225108288493</v>
      </c>
      <c r="AB12" s="159">
        <f>AB11</f>
        <v>591</v>
      </c>
      <c r="AC12" s="1">
        <f>AB12</f>
        <v>591</v>
      </c>
      <c r="AD12" s="1">
        <f>AC13*SIN(AC20)+AC12*COS(AC20)</f>
        <v>582.42522271578468</v>
      </c>
    </row>
    <row r="13" spans="6:30" x14ac:dyDescent="0.25">
      <c r="F13" t="s">
        <v>43</v>
      </c>
      <c r="H13" s="1">
        <f>H6-(H12-H7)/TAN(RADIANS('Geometry Calculator'!H15))</f>
        <v>287.10812541501127</v>
      </c>
      <c r="I13" s="1">
        <f>H13+'Geometry Calculator'!K8</f>
        <v>297.10812541501127</v>
      </c>
      <c r="J13" s="1">
        <f>I13*COS(I20)-I12*SIN(I20)</f>
        <v>289.71526230755546</v>
      </c>
      <c r="K13" s="1"/>
      <c r="L13" s="1">
        <f>L6-(L12-L7)/TAN(RADIANS('Geometry Calculator'!L15))</f>
        <v>269.86104109165922</v>
      </c>
      <c r="M13" s="1">
        <f>L13+'Geometry Calculator'!O8</f>
        <v>269.86104109165922</v>
      </c>
      <c r="N13" s="1">
        <f>M13*COS(M20)-M12*SIN(M20)</f>
        <v>269.86104109165922</v>
      </c>
      <c r="O13" s="1"/>
      <c r="P13" s="1">
        <f>P6-(P12-P7)/TAN(RADIANS('Geometry Calculator'!P15))</f>
        <v>244.40692913947322</v>
      </c>
      <c r="Q13" s="1">
        <f>P13+'Geometry Calculator'!S8</f>
        <v>244.40692913947322</v>
      </c>
      <c r="R13" s="1">
        <f>Q13*COS(Q20)-Q12*SIN(Q20)</f>
        <v>232.94974650975723</v>
      </c>
      <c r="S13" s="1"/>
      <c r="T13" s="1">
        <f>T6-(T12-T7)/TAN(RADIANS('Geometry Calculator'!T15))</f>
        <v>263.58972226489493</v>
      </c>
      <c r="U13" s="1">
        <f>T13+'Geometry Calculator'!W8</f>
        <v>263.58972226489493</v>
      </c>
      <c r="V13" s="1">
        <f>U13*COS(U20)-U12*SIN(U20)</f>
        <v>267.94584491957005</v>
      </c>
      <c r="W13" s="1"/>
      <c r="X13" s="1">
        <f>X6-(X12-X7)/TAN(RADIANS('Geometry Calculator'!X15))</f>
        <v>302.926940562195</v>
      </c>
      <c r="Y13" s="1">
        <f>X13+'Geometry Calculator'!AA8</f>
        <v>302.926940562195</v>
      </c>
      <c r="Z13" s="1">
        <f>Y13*COS(Y20)-Y12*SIN(Y20)</f>
        <v>307.56132117670546</v>
      </c>
      <c r="AB13" s="159">
        <f>AB6-(AB12-AB7)/TAN(RADIANS('Sagged Hardtail Calculator'!D13))</f>
        <v>276.50973747774106</v>
      </c>
      <c r="AC13" s="1">
        <f>AB13</f>
        <v>276.50973747774106</v>
      </c>
      <c r="AD13" s="1">
        <f>AC13*COS(AC20)-AC12*SIN(AC20)</f>
        <v>294.14196379380826</v>
      </c>
    </row>
    <row r="14" spans="6:30" x14ac:dyDescent="0.25">
      <c r="F14" t="s">
        <v>31</v>
      </c>
      <c r="H14" s="1">
        <f>H15+'Geometry Calculator'!H11/2</f>
        <v>0</v>
      </c>
      <c r="I14" s="1">
        <f>I16+'Geometry Calculator'!J26*SIN(RADIANS(90-('Geometry Calculator'!H14+'Geometry Calculator'!K5)))</f>
        <v>-8.3797544262635135</v>
      </c>
      <c r="J14" s="1">
        <f>I18*SIN(I20)+I14*COS(I20)</f>
        <v>6.9999999999999982</v>
      </c>
      <c r="K14" s="1"/>
      <c r="L14" s="1">
        <f>L15+'Geometry Calculator'!L11/2</f>
        <v>0</v>
      </c>
      <c r="M14" s="1">
        <f>M16+'Geometry Calculator'!N26*SIN(RADIANS(90-('Geometry Calculator'!L14+'Geometry Calculator'!O5)))</f>
        <v>0</v>
      </c>
      <c r="N14" s="1">
        <f>M18*SIN(M20)+M14*COS(M20)</f>
        <v>0</v>
      </c>
      <c r="O14" s="1"/>
      <c r="P14" s="1">
        <f>P15+'Geometry Calculator'!P11/2</f>
        <v>0</v>
      </c>
      <c r="Q14" s="1">
        <f>Q16+'Geometry Calculator'!R26*SIN(RADIANS(90-('Geometry Calculator'!P14+'Geometry Calculator'!S5)))</f>
        <v>-11.914278915937071</v>
      </c>
      <c r="R14" s="1">
        <f>Q18*SIN(Q20)+Q14*COS(Q20)</f>
        <v>11.499999999999996</v>
      </c>
      <c r="S14" s="1"/>
      <c r="T14" s="1">
        <f>T15+'Geometry Calculator'!T11/2</f>
        <v>0</v>
      </c>
      <c r="U14" s="1">
        <f>U16+'Geometry Calculator'!V26*SIN(RADIANS(90-('Geometry Calculator'!T14+'Geometry Calculator'!W5)))</f>
        <v>9.1292162998060356</v>
      </c>
      <c r="V14" s="1">
        <f>U18*SIN(U20)+U14*COS(U20)</f>
        <v>0</v>
      </c>
      <c r="W14" s="1"/>
      <c r="X14" s="1">
        <f>X15+'Geometry Calculator'!X11/2</f>
        <v>0</v>
      </c>
      <c r="Y14" s="1">
        <f>Y16+'Geometry Calculator'!Z26*SIN(RADIANS(90-('Geometry Calculator'!X14+'Geometry Calculator'!AA5)))</f>
        <v>9.1415147311764109</v>
      </c>
      <c r="Z14" s="1">
        <f>Y18*SIN(Y20)+Y14*COS(Y20)</f>
        <v>0</v>
      </c>
      <c r="AB14" s="159">
        <f>AB15+'Sagged Hardtail Calculator'!D9/2</f>
        <v>0</v>
      </c>
      <c r="AC14" s="1">
        <f>AC16+'Sagged Hardtail Calculator'!E24*SIN(RADIANS(90-('Sagged Hardtail Calculator'!D12)))</f>
        <v>36.618061641393886</v>
      </c>
      <c r="AD14" s="1">
        <f>AC18*SIN(AC20)+AC14*COS(AC20)</f>
        <v>0</v>
      </c>
    </row>
    <row r="15" spans="6:30" x14ac:dyDescent="0.25">
      <c r="F15" t="s">
        <v>23</v>
      </c>
      <c r="H15" s="1">
        <f>H5</f>
        <v>-370</v>
      </c>
      <c r="I15" s="2"/>
      <c r="J15" s="1">
        <f>J14-'Geometry Calculator'!J11/2</f>
        <v>-370</v>
      </c>
      <c r="K15" s="1"/>
      <c r="L15" s="1">
        <f>L5</f>
        <v>-377</v>
      </c>
      <c r="M15" s="2"/>
      <c r="N15" s="1">
        <f>N14-'Geometry Calculator'!N11/2</f>
        <v>-377</v>
      </c>
      <c r="O15" s="1"/>
      <c r="P15" s="1">
        <f>P5</f>
        <v>-363</v>
      </c>
      <c r="Q15" s="2"/>
      <c r="R15" s="1">
        <f>R14-'Geometry Calculator'!R11/2</f>
        <v>-363</v>
      </c>
      <c r="S15" s="1"/>
      <c r="T15" s="1">
        <f>T5</f>
        <v>-372</v>
      </c>
      <c r="U15" s="2"/>
      <c r="V15" s="1">
        <f>V14-'Geometry Calculator'!V11/2</f>
        <v>-372</v>
      </c>
      <c r="W15" s="1"/>
      <c r="X15" s="1">
        <f>X5</f>
        <v>-382.5</v>
      </c>
      <c r="Y15" s="2"/>
      <c r="Z15" s="1">
        <f>Z14-'Geometry Calculator'!Z11/2</f>
        <v>-382.5</v>
      </c>
      <c r="AB15" s="159">
        <f>AB5</f>
        <v>-375</v>
      </c>
      <c r="AC15" s="2"/>
      <c r="AD15" s="1">
        <f>AD14-'Sagged Hardtail Calculator'!E9/2</f>
        <v>-375</v>
      </c>
    </row>
    <row r="16" spans="6:30" x14ac:dyDescent="0.25">
      <c r="F16" t="s">
        <v>27</v>
      </c>
      <c r="H16" s="1">
        <f>H14+'Geometry Calculator'!H26*SIN(RADIANS(270-'Geometry Calculator'!H14))</f>
        <v>-18.942488259564993</v>
      </c>
      <c r="I16" s="1">
        <f>I9+(SQRT((H16-H9)^2+(H17-H8)^2)+'Geometry Calculator'!K4)*SIN(RADIANS(360-('Geometry Calculator'!H14+'Geometry Calculator'!K5)))</f>
        <v>-27.773196182134939</v>
      </c>
      <c r="J16" s="1">
        <f>I17*SIN(I20)+I16*COS(I20)</f>
        <v>-12.845361332393088</v>
      </c>
      <c r="K16" s="1"/>
      <c r="L16" s="1">
        <f>L14+'Geometry Calculator'!L26*SIN(RADIANS(270-'Geometry Calculator'!L14))</f>
        <v>-17.749966993109368</v>
      </c>
      <c r="M16" s="1">
        <f>M9+(SQRT((L16-L9)^2+(L17-L8)^2)+'Geometry Calculator'!O4)*SIN(RADIANS(360-('Geometry Calculator'!L14+'Geometry Calculator'!O5)))</f>
        <v>-17.749966993109354</v>
      </c>
      <c r="N16" s="1">
        <f>M17*SIN(M20)+M16*COS(M20)</f>
        <v>-17.749966993109354</v>
      </c>
      <c r="O16" s="1"/>
      <c r="P16" s="1">
        <f>P14+'Geometry Calculator'!P26*SIN(RADIANS(270-'Geometry Calculator'!P14))</f>
        <v>-19.104936264211513</v>
      </c>
      <c r="Q16" s="1">
        <f>Q9+(SQRT((P16-P9)^2+(P17-P8)^2)+'Geometry Calculator'!S4)*SIN(RADIANS(360-('Geometry Calculator'!P14+'Geometry Calculator'!S5)))</f>
        <v>-32.250481431124626</v>
      </c>
      <c r="R16" s="1">
        <f>Q17*SIN(Q20)+Q16*COS(Q20)</f>
        <v>-9.7714445696544274</v>
      </c>
      <c r="S16" s="1"/>
      <c r="T16" s="1">
        <f>T14+'Geometry Calculator'!T26*SIN(RADIANS(270-'Geometry Calculator'!T14))</f>
        <v>-16.747460894860346</v>
      </c>
      <c r="U16" s="1">
        <f>U9+(SQRT((T16-T9)^2+(T17-T8)^2)+'Geometry Calculator'!W4)*SIN(RADIANS(360-('Geometry Calculator'!T14+'Geometry Calculator'!W5)))</f>
        <v>-8.9522497661423586</v>
      </c>
      <c r="V16" s="1">
        <f>U17*SIN(U20)+U16*COS(U20)</f>
        <v>-17.794758397329694</v>
      </c>
      <c r="W16" s="1"/>
      <c r="X16" s="1">
        <f>X14+'Geometry Calculator'!X26*SIN(RADIANS(270-'Geometry Calculator'!X14))</f>
        <v>-19.104936264211513</v>
      </c>
      <c r="Y16" s="1">
        <f>Y9+(SQRT((X16-X9)^2+(X17-X8)^2)+'Geometry Calculator'!AA4)*SIN(RADIANS(360-('Geometry Calculator'!X14+'Geometry Calculator'!AA5)))</f>
        <v>-11.602054065689401</v>
      </c>
      <c r="Z16" s="1">
        <f>Y17*SIN(Y20)+Y16*COS(Y20)</f>
        <v>-20.38920721972648</v>
      </c>
      <c r="AB16" s="159">
        <f>AB14+'Sagged Hardtail Calculator'!D24*SIN(RADIANS(270-'Sagged Hardtail Calculator'!D12))</f>
        <v>-17.749966993109368</v>
      </c>
      <c r="AC16" s="1">
        <f>IF('Sagged Hardtail Calculator'!F6="Static",AB9+('Sagged Hardtail Calculator'!D29-'Sagged Hardtail Calculator'!F4*'Sagged Hardtail Calculator'!F5/100)*SIN(RADIANS(360-'Sagged Hardtail Calculator'!D12)),AB9+('Sagged Hardtail Calculator'!D29+'Sagged Hardtail Calculator'!F4*'Sagged Hardtail Calculator'!F5/100)*SIN(RADIANS(360-'Sagged Hardtail Calculator'!D12)))</f>
        <v>18.868094648284512</v>
      </c>
      <c r="AD16" s="1">
        <f>AC17*SIN(AC20)+AC16*COS(AC20)</f>
        <v>-16.598262352123886</v>
      </c>
    </row>
    <row r="17" spans="6:30" x14ac:dyDescent="0.25">
      <c r="F17" t="s">
        <v>25</v>
      </c>
      <c r="H17" s="1">
        <f>(H9-H16)*TAN(RADIANS(90-'Geometry Calculator'!H14))+H8</f>
        <v>1189.4197787993801</v>
      </c>
      <c r="I17" s="1">
        <f>I8+(SQRT((H16-H9)^2+(H17-H8)^2)+'Geometry Calculator'!K4)*COS(RADIANS(360-('Geometry Calculator'!H14+'Geometry Calculator'!K5)))</f>
        <v>1226.5244610515372</v>
      </c>
      <c r="J17" s="1">
        <f>I17*COS(I20)-I16*SIN(I20)</f>
        <v>1226.7716171627771</v>
      </c>
      <c r="K17" s="1"/>
      <c r="L17" s="1">
        <f>(L9-L16)*TAN(RADIANS(90-'Geometry Calculator'!L14))+L8</f>
        <v>1175.0520285501357</v>
      </c>
      <c r="M17" s="1">
        <f>M8+(SQRT((L16-L9)^2+(L17-L8)^2)+'Geometry Calculator'!O4)*COS(RADIANS(360-('Geometry Calculator'!L14+'Geometry Calculator'!O5)))</f>
        <v>1175.0520285501357</v>
      </c>
      <c r="N17" s="1">
        <f>M17*COS(M20)-M16*SIN(M20)</f>
        <v>1175.0520285501357</v>
      </c>
      <c r="O17" s="1"/>
      <c r="P17" s="1">
        <f>(P9-P16)*TAN(RADIANS(90-'Geometry Calculator'!P14))+P8</f>
        <v>1098.5450675920824</v>
      </c>
      <c r="Q17" s="1">
        <f>Q8+(SQRT((P16-P9)^2+(P17-P8)^2)+'Geometry Calculator'!S4)*COS(RADIANS(360-('Geometry Calculator'!P14+'Geometry Calculator'!S5)))</f>
        <v>1118.910282976929</v>
      </c>
      <c r="R17" s="1">
        <f>Q17*COS(Q20)-Q16*SIN(Q20)</f>
        <v>1119.3323160594769</v>
      </c>
      <c r="S17" s="1"/>
      <c r="T17" s="1">
        <f>(T9-T16)*TAN(RADIANS(90-'Geometry Calculator'!T14))+T8</f>
        <v>1154.1932237472552</v>
      </c>
      <c r="U17" s="1">
        <f>U8+(SQRT((T16-T9)^2+(T17-T8)^2)+'Geometry Calculator'!W4)*COS(RADIANS(360-('Geometry Calculator'!T14+'Geometry Calculator'!W5)))</f>
        <v>1171.2982534313755</v>
      </c>
      <c r="V17" s="1">
        <f>U17*COS(U20)-U16*SIN(U20)</f>
        <v>1171.1972881802822</v>
      </c>
      <c r="W17" s="1"/>
      <c r="X17" s="1">
        <f>(X9-X16)*TAN(RADIANS(90-'Geometry Calculator'!X14))+X8</f>
        <v>1139.6402198386336</v>
      </c>
      <c r="Y17" s="1">
        <f>Y8+(SQRT((X16-X9)^2+(X17-X8)^2)+'Geometry Calculator'!AA4)*COS(RADIANS(360-('Geometry Calculator'!X14+'Geometry Calculator'!AA5)))</f>
        <v>1157.3159026165188</v>
      </c>
      <c r="Z17" s="1">
        <f>Y17*COS(Y20)-Y16*SIN(Y20)</f>
        <v>1157.1944462088391</v>
      </c>
      <c r="AB17" s="159">
        <f>(AB9-AB16)*TAN(RADIANS(90-'Sagged Hardtail Calculator'!D12))+AB8</f>
        <v>1197.2018227765911</v>
      </c>
      <c r="AC17" s="1">
        <f>IF('Sagged Hardtail Calculator'!F6="Static",AB8+('Sagged Hardtail Calculator'!D29-'Sagged Hardtail Calculator'!F4*'Sagged Hardtail Calculator'!F5/100)*COS(RADIANS(360-'Sagged Hardtail Calculator'!D12)),AB8+('Sagged Hardtail Calculator'!D29+'Sagged Hardtail Calculator'!F4*'Sagged Hardtail Calculator'!F5/100)*COS(RADIANS(360-'Sagged Hardtail Calculator'!D12)))</f>
        <v>1180.1265402064175</v>
      </c>
      <c r="AD17" s="1">
        <f>AC17*COS(AC20)-AC16*SIN(AC20)</f>
        <v>1180.1606473620936</v>
      </c>
    </row>
    <row r="18" spans="6:30" x14ac:dyDescent="0.25">
      <c r="F18" t="s">
        <v>29</v>
      </c>
      <c r="H18" s="1">
        <f>H17+'Geometry Calculator'!H26*COS(RADIANS(90-'Geometry Calculator'!H14))</f>
        <v>1229.1335313107741</v>
      </c>
      <c r="I18" s="1">
        <f>I17+'Geometry Calculator'!J26*COS(RADIANS(90-('Geometry Calculator'!H14+'Geometry Calculator'!K5)))</f>
        <v>1263.7789160450225</v>
      </c>
      <c r="J18" s="1">
        <f>I18*COS(I20)-I14*SIN(I20)</f>
        <v>1263.7873115853697</v>
      </c>
      <c r="K18" s="1"/>
      <c r="L18" s="1">
        <f>L17+'Geometry Calculator'!L26*COS(RADIANS(90-'Geometry Calculator'!L14))</f>
        <v>1213.116955605675</v>
      </c>
      <c r="M18" s="1">
        <f>M17+'Geometry Calculator'!N26*COS(RADIANS(90-('Geometry Calculator'!L14+'Geometry Calculator'!O5)))</f>
        <v>1213.116955605675</v>
      </c>
      <c r="N18" s="1">
        <f>M18*COS(M20)-M14*SIN(M20)</f>
        <v>1213.116955605675</v>
      </c>
      <c r="O18" s="1"/>
      <c r="P18" s="1">
        <f>P17+'Geometry Calculator'!P26*COS(RADIANS(90-'Geometry Calculator'!P14))</f>
        <v>1145.8314441749885</v>
      </c>
      <c r="Q18" s="1">
        <f>Q17+'Geometry Calculator'!R26*COS(RADIANS(90-('Geometry Calculator'!P14+'Geometry Calculator'!S5)))</f>
        <v>1165.6803467705704</v>
      </c>
      <c r="R18" s="1">
        <f>Q18*COS(Q20)-Q14*SIN(Q20)</f>
        <v>1165.6845074415478</v>
      </c>
      <c r="S18" s="1"/>
      <c r="T18" s="1">
        <f>T17+'Geometry Calculator'!T26*COS(RADIANS(90-'Geometry Calculator'!T14))</f>
        <v>1192.7097468714303</v>
      </c>
      <c r="U18" s="1">
        <f>U17+'Geometry Calculator'!V26*COS(RADIANS(90-('Geometry Calculator'!T14+'Geometry Calculator'!W5)))</f>
        <v>1209.2068353740697</v>
      </c>
      <c r="V18" s="1">
        <f>U18*COS(U20)-U14*SIN(U20)</f>
        <v>1209.241296559798</v>
      </c>
      <c r="W18" s="1"/>
      <c r="X18" s="1">
        <f>X17+'Geometry Calculator'!X26*COS(RADIANS(90-'Geometry Calculator'!X14))</f>
        <v>1186.9265964215397</v>
      </c>
      <c r="Y18" s="1">
        <f>Y17+'Geometry Calculator'!Z26*COS(RADIANS(90-('Geometry Calculator'!X14+'Geometry Calculator'!AA5)))</f>
        <v>1203.9067209562913</v>
      </c>
      <c r="Z18" s="1">
        <f>Y18*COS(Y20)-Y14*SIN(Y20)</f>
        <v>1203.9414271696567</v>
      </c>
      <c r="AB18" s="159">
        <f>AB17+'Sagged Hardtail Calculator'!D24*COS(RADIANS(90-'Sagged Hardtail Calculator'!D12))</f>
        <v>1235.2667498321305</v>
      </c>
      <c r="AC18" s="1">
        <f>AC17+'Sagged Hardtail Calculator'!E24*COS(RADIANS(90-('Sagged Hardtail Calculator'!D12)))</f>
        <v>1218.1914672619569</v>
      </c>
      <c r="AD18" s="1">
        <f>AC18*COS(AC20)-AC14*SIN(AC20)</f>
        <v>1218.7417008325483</v>
      </c>
    </row>
    <row r="19" spans="6:30" x14ac:dyDescent="0.25">
      <c r="F19" t="s">
        <v>21</v>
      </c>
      <c r="H19" s="1">
        <f>H18</f>
        <v>1229.1335313107741</v>
      </c>
      <c r="I19" s="2"/>
      <c r="J19" s="1">
        <f>J18</f>
        <v>1263.7873115853697</v>
      </c>
      <c r="K19" s="1"/>
      <c r="L19" s="1">
        <f>L18</f>
        <v>1213.116955605675</v>
      </c>
      <c r="M19" s="2"/>
      <c r="N19" s="1">
        <f>N18</f>
        <v>1213.116955605675</v>
      </c>
      <c r="O19" s="1"/>
      <c r="P19" s="1">
        <f>P18</f>
        <v>1145.8314441749885</v>
      </c>
      <c r="Q19" s="2"/>
      <c r="R19" s="1">
        <f>R18</f>
        <v>1165.6845074415478</v>
      </c>
      <c r="S19" s="1"/>
      <c r="T19" s="1">
        <f>T18</f>
        <v>1192.7097468714303</v>
      </c>
      <c r="U19" s="2"/>
      <c r="V19" s="1">
        <f>V18</f>
        <v>1209.241296559798</v>
      </c>
      <c r="W19" s="1"/>
      <c r="X19" s="1">
        <f>X18</f>
        <v>1186.9265964215397</v>
      </c>
      <c r="Y19" s="2"/>
      <c r="Z19" s="1">
        <f>Z18</f>
        <v>1203.9414271696567</v>
      </c>
      <c r="AB19" s="159">
        <f>AB18</f>
        <v>1235.2667498321305</v>
      </c>
      <c r="AC19" s="2"/>
      <c r="AD19" s="1">
        <f>AD18</f>
        <v>1218.7417008325483</v>
      </c>
    </row>
    <row r="20" spans="6:30" x14ac:dyDescent="0.25">
      <c r="F20" t="s">
        <v>54</v>
      </c>
      <c r="H20" s="3" t="s">
        <v>55</v>
      </c>
      <c r="I20" s="4">
        <f>ASIN(('Geometry Calculator'!J11/2-'Geometry Calculator'!J10/2)/SQRT(I14^2+I18^2))-ASIN(I14/SQRT(I14^2+I18^2))</f>
        <v>1.2169465196318303E-2</v>
      </c>
      <c r="J20" s="2"/>
      <c r="K20" s="2"/>
      <c r="L20" s="3" t="s">
        <v>55</v>
      </c>
      <c r="M20" s="4">
        <f>ASIN(('Geometry Calculator'!N11/2-'Geometry Calculator'!N10/2)/SQRT(M14^2+M18^2))-ASIN(M14/SQRT(M14^2+M18^2))</f>
        <v>0</v>
      </c>
      <c r="N20" s="2"/>
      <c r="O20" s="2"/>
      <c r="P20" s="3" t="s">
        <v>55</v>
      </c>
      <c r="Q20" s="4">
        <f>ASIN(('Geometry Calculator'!R11/2-'Geometry Calculator'!R10/2)/SQRT(Q14^2+Q18^2))-ASIN(Q14/SQRT(Q14^2+Q18^2))</f>
        <v>2.0085652139021172E-2</v>
      </c>
      <c r="R20" s="2"/>
      <c r="S20" s="2"/>
      <c r="T20" s="3" t="s">
        <v>55</v>
      </c>
      <c r="U20" s="4">
        <f>ASIN(('Geometry Calculator'!V11/2-'Geometry Calculator'!V10/2)/SQRT(U14^2+U18^2))-ASIN(U14/SQRT(U14^2+U18^2))</f>
        <v>-7.5496123468553498E-3</v>
      </c>
      <c r="V20" s="2"/>
      <c r="W20" s="2"/>
      <c r="X20" s="3" t="s">
        <v>55</v>
      </c>
      <c r="Y20" s="4">
        <f>ASIN(('Geometry Calculator'!Z11/2-'Geometry Calculator'!Z10/2)/SQRT(Y14^2+Y18^2))-ASIN(Y14/SQRT(Y14^2+Y18^2))</f>
        <v>-7.5930625586877205E-3</v>
      </c>
      <c r="Z20" s="2"/>
      <c r="AB20" s="161" t="s">
        <v>55</v>
      </c>
      <c r="AC20" s="4">
        <f>ASIN(('Sagged Hardtail Calculator'!E9/2-'Sagged Hardtail Calculator'!E8/2)/SQRT(AC14^2+AC18^2))-ASIN(AC14/SQRT(AC14^2+AC18^2))</f>
        <v>-3.0050316114175166E-2</v>
      </c>
      <c r="AD20" s="2"/>
    </row>
    <row r="21" spans="6:30" x14ac:dyDescent="0.25">
      <c r="F21" t="s">
        <v>38</v>
      </c>
      <c r="H21" s="1">
        <f>-TAN(RADIANS('Geometry Calculator'!H46))</f>
        <v>-2.9042108776758222</v>
      </c>
      <c r="I21" s="2"/>
      <c r="J21" s="1">
        <f>-TAN(RADIANS('Geometry Calculator'!J46))</f>
        <v>-2.7933127426355369</v>
      </c>
      <c r="K21" s="1"/>
      <c r="L21" s="1">
        <f>-TAN(RADIANS('Geometry Calculator'!L46))</f>
        <v>-3.6058835087608729</v>
      </c>
      <c r="M21" s="2"/>
      <c r="N21" s="1">
        <f>-TAN(RADIANS('Geometry Calculator'!N46))</f>
        <v>-3.6058835087608729</v>
      </c>
      <c r="O21" s="1"/>
      <c r="P21" s="1">
        <f>-TAN(RADIANS('Geometry Calculator'!P46))</f>
        <v>-2.9042108776758222</v>
      </c>
      <c r="Q21" s="2"/>
      <c r="R21" s="1">
        <f>-TAN(RADIANS('Geometry Calculator'!R46))</f>
        <v>-2.7251358755609698</v>
      </c>
      <c r="S21" s="1"/>
      <c r="T21" s="1">
        <f>-TAN(RADIANS('Geometry Calculator'!T46))</f>
        <v>-2.4261818577114589</v>
      </c>
      <c r="U21" s="2"/>
      <c r="V21" s="1">
        <f>-TAN(RADIANS('Geometry Calculator'!V46))</f>
        <v>-2.4791422619130814</v>
      </c>
      <c r="W21" s="1"/>
      <c r="X21" s="1">
        <f>-TAN(RADIANS('Geometry Calculator'!X46))</f>
        <v>-3.0776835371752527</v>
      </c>
      <c r="Y21" s="2"/>
      <c r="Z21" s="1">
        <f>-TAN(RADIANS('Geometry Calculator'!Z46))</f>
        <v>-3.1591033894337106</v>
      </c>
      <c r="AB21" s="159"/>
      <c r="AC21" s="2"/>
      <c r="AD21" s="1"/>
    </row>
    <row r="22" spans="6:30" x14ac:dyDescent="0.25">
      <c r="F22" t="s">
        <v>44</v>
      </c>
      <c r="H22" s="1">
        <f>H12-H21*H13</f>
        <v>1439.5225408993899</v>
      </c>
      <c r="I22" s="2"/>
      <c r="J22" s="1">
        <f>J12-J21*J13</f>
        <v>1418.5360414036945</v>
      </c>
      <c r="K22" s="1"/>
      <c r="L22" s="1">
        <f>L12-L21*L13</f>
        <v>1557.0874777294543</v>
      </c>
      <c r="M22" s="2"/>
      <c r="N22" s="1">
        <f>N12-N21*N13</f>
        <v>1557.0874777294543</v>
      </c>
      <c r="O22" s="1"/>
      <c r="P22" s="1">
        <f>P12-P21*P13</f>
        <v>1277.809262186202</v>
      </c>
      <c r="Q22" s="2"/>
      <c r="R22" s="1">
        <f>R12-R21*R13</f>
        <v>1207.6138826617312</v>
      </c>
      <c r="S22" s="1"/>
      <c r="T22" s="1">
        <f>T12-T21*T13</f>
        <v>1217.5166020382903</v>
      </c>
      <c r="U22" s="2"/>
      <c r="V22" s="1">
        <f>V12-V21*V13</f>
        <v>1240.2694147736088</v>
      </c>
      <c r="W22" s="1"/>
      <c r="X22" s="1">
        <f>X12-X21*X13</f>
        <v>1543.8132579351338</v>
      </c>
      <c r="Y22" s="2"/>
      <c r="Z22" s="1">
        <f>Z12-Z21*Z13</f>
        <v>1580.8002632709254</v>
      </c>
      <c r="AB22" s="159"/>
      <c r="AC22" s="2"/>
      <c r="AD22" s="1"/>
    </row>
    <row r="23" spans="6:30" x14ac:dyDescent="0.25">
      <c r="F23" t="s">
        <v>45</v>
      </c>
      <c r="H23" s="1">
        <f>IF('Geometry Calculator'!H27&gt;0,'Geometry Calculator'!H27-(H3-H5),'Geometry Calculator'!H16-75)</f>
        <v>330</v>
      </c>
      <c r="I23" s="1">
        <f>H23</f>
        <v>330</v>
      </c>
      <c r="J23" s="1">
        <f>I24*SIN(I20)+I23*COS(I20)</f>
        <v>334.74635471206216</v>
      </c>
      <c r="K23" s="1"/>
      <c r="L23" s="1">
        <f>IF('Geometry Calculator'!L27&gt;0,'Geometry Calculator'!L27-(L3-L5),'Geometry Calculator'!L16-75)</f>
        <v>263</v>
      </c>
      <c r="M23" s="1">
        <f>L23</f>
        <v>263</v>
      </c>
      <c r="N23" s="1">
        <f>M24*SIN(M20)+M23*COS(M20)</f>
        <v>263</v>
      </c>
      <c r="O23" s="1"/>
      <c r="P23" s="1">
        <f>IF('Geometry Calculator'!P27&gt;0,'Geometry Calculator'!P27-(P3-P5),'Geometry Calculator'!P16-75)</f>
        <v>362</v>
      </c>
      <c r="Q23" s="1">
        <f>P23</f>
        <v>362</v>
      </c>
      <c r="R23" s="1">
        <f>Q24*SIN(Q20)+Q23*COS(Q20)</f>
        <v>368.26033289738672</v>
      </c>
      <c r="S23" s="1"/>
      <c r="T23" s="1">
        <f>IF('Geometry Calculator'!T27&gt;0,'Geometry Calculator'!T27-(T3-T5),'Geometry Calculator'!T16-75)</f>
        <v>389</v>
      </c>
      <c r="U23" s="1">
        <f>T23</f>
        <v>389</v>
      </c>
      <c r="V23" s="1">
        <f>U24*SIN(U20)+U23*COS(U20)</f>
        <v>386.41082232369104</v>
      </c>
      <c r="W23" s="1"/>
      <c r="X23" s="1">
        <f>IF('Geometry Calculator'!X27&gt;0,'Geometry Calculator'!X27-(X3-X5),'Geometry Calculator'!X16-75)</f>
        <v>362.5</v>
      </c>
      <c r="Y23" s="1">
        <f>X23</f>
        <v>362.5</v>
      </c>
      <c r="Z23" s="1">
        <f>Y24*SIN(Y20)+Y23*COS(Y20)</f>
        <v>359.57511818955845</v>
      </c>
      <c r="AB23" s="159"/>
      <c r="AC23" s="1"/>
      <c r="AD23" s="1"/>
    </row>
    <row r="24" spans="6:30" x14ac:dyDescent="0.25">
      <c r="F24" t="s">
        <v>46</v>
      </c>
      <c r="H24" s="1">
        <f>(H23-H22)/H21</f>
        <v>382.03924839897201</v>
      </c>
      <c r="I24" s="1">
        <f>H24+'Geometry Calculator'!K8</f>
        <v>392.03924839897201</v>
      </c>
      <c r="J24" s="1">
        <f>I24*COS(I20)-I23*SIN(I20)</f>
        <v>387.99439466597602</v>
      </c>
      <c r="K24" s="1"/>
      <c r="L24" s="1">
        <f>(L23-L22)/L21</f>
        <v>358.88221973486742</v>
      </c>
      <c r="M24" s="1">
        <f>L24+'Geometry Calculator'!O8</f>
        <v>358.88221973486742</v>
      </c>
      <c r="N24" s="1">
        <f>M24*COS(M20)-M23*SIN(M20)</f>
        <v>358.88221973486742</v>
      </c>
      <c r="O24" s="1"/>
      <c r="P24" s="1">
        <f>(P23-P22)/P21</f>
        <v>315.33841747714428</v>
      </c>
      <c r="Q24" s="1">
        <f>P24+'Geometry Calculator'!S8</f>
        <v>315.33841747714428</v>
      </c>
      <c r="R24" s="1">
        <f>Q24*COS(Q20)-Q23*SIN(Q20)</f>
        <v>308.00429339750389</v>
      </c>
      <c r="S24" s="1"/>
      <c r="T24" s="1">
        <f>(T23-T22)/T21</f>
        <v>341.48990085178696</v>
      </c>
      <c r="U24" s="1">
        <f>T24+'Geometry Calculator'!W8</f>
        <v>341.48990085178696</v>
      </c>
      <c r="V24" s="1">
        <f>U24*COS(U20)-U23*SIN(U20)</f>
        <v>344.41694031346975</v>
      </c>
      <c r="W24" s="1"/>
      <c r="X24" s="1">
        <f>(X23-X22)/X21</f>
        <v>383.83194492418869</v>
      </c>
      <c r="Y24" s="1">
        <f>X24+'Geometry Calculator'!AA8</f>
        <v>383.83194492418869</v>
      </c>
      <c r="Z24" s="1">
        <f>Y24*COS(Y20)-Y23*SIN(Y20)</f>
        <v>386.57333886760796</v>
      </c>
      <c r="AB24" s="159"/>
      <c r="AC24" s="1"/>
      <c r="AD24" s="1"/>
    </row>
    <row r="25" spans="6:30" x14ac:dyDescent="0.25">
      <c r="F25" t="s">
        <v>48</v>
      </c>
      <c r="H25" s="1" cm="1">
        <f t="array" ref="H25">_xlfn.IFS(AND('Geometry Calculator'!H15&lt;=90,'Geometry Calculator'!H46&gt;'Geometry Calculator'!H15),1,AND('Geometry Calculator'!H15&gt;=90,'Geometry Calculator'!H46&lt;'Geometry Calculator'!H15),2,TRUE,3)</f>
        <v>3</v>
      </c>
      <c r="I25" s="2"/>
      <c r="J25" s="2"/>
      <c r="K25" s="2"/>
      <c r="L25" s="1" cm="1">
        <f t="array" ref="L25">_xlfn.IFS(AND('Geometry Calculator'!L15&lt;=90,'Geometry Calculator'!L46&gt;'Geometry Calculator'!L15),1,AND('Geometry Calculator'!L15&gt;=90,'Geometry Calculator'!L46&lt;'Geometry Calculator'!L15),2,TRUE,3)</f>
        <v>3</v>
      </c>
      <c r="M25" s="2"/>
      <c r="N25" s="2"/>
      <c r="O25" s="2"/>
      <c r="P25" s="1" cm="1">
        <f t="array" ref="P25">_xlfn.IFS(AND('Geometry Calculator'!P15&lt;=90,'Geometry Calculator'!P46&gt;'Geometry Calculator'!P15),1,AND('Geometry Calculator'!P15&gt;=90,'Geometry Calculator'!P46&lt;'Geometry Calculator'!P15),2,TRUE,3)</f>
        <v>3</v>
      </c>
      <c r="Q25" s="2"/>
      <c r="R25" s="2"/>
      <c r="S25" s="2"/>
      <c r="T25" s="1" cm="1">
        <f t="array" ref="T25">_xlfn.IFS(AND('Geometry Calculator'!T15&lt;=90,'Geometry Calculator'!T46&gt;'Geometry Calculator'!T15),1,AND('Geometry Calculator'!T15&gt;=90,'Geometry Calculator'!T46&lt;'Geometry Calculator'!T15),2,TRUE,3)</f>
        <v>3</v>
      </c>
      <c r="U25" s="2"/>
      <c r="V25" s="2"/>
      <c r="W25" s="2"/>
      <c r="X25" s="1" cm="1">
        <f t="array" ref="X25">_xlfn.IFS(AND('Geometry Calculator'!X15&lt;=90,'Geometry Calculator'!X46&gt;'Geometry Calculator'!X15),1,AND('Geometry Calculator'!X15&gt;=90,'Geometry Calculator'!X46&lt;'Geometry Calculator'!X15),2,TRUE,3)</f>
        <v>3</v>
      </c>
      <c r="Y25" s="2"/>
      <c r="Z25" s="2"/>
      <c r="AB25" s="159"/>
      <c r="AC25" s="2"/>
      <c r="AD25" s="2"/>
    </row>
    <row r="26" spans="6:30" x14ac:dyDescent="0.25">
      <c r="F26" t="s">
        <v>47</v>
      </c>
      <c r="H26" s="1" cm="1">
        <f t="array" ref="H26">_xlfn.IFS(H25=1,(H7+0.8*ABS((H23-H7)/(H24-H6))*H6-H22)/(H21+0.8*ABS((H23-H7)/(H24-H6))),H25=2,(H7-0.8*ABS((H23-H7)/(H24-H6))*H6-H22)/(H21-0.8*ABS((H23-H7)/(H24-H6))),H25=3,H6)</f>
        <v>436.48059521586981</v>
      </c>
      <c r="I26" s="1">
        <f>H26+'Geometry Calculator'!K8</f>
        <v>446.48059521586981</v>
      </c>
      <c r="J26" s="1">
        <f>I26*COS(I20)-I27*SIN(I20)</f>
        <v>444.35576658920263</v>
      </c>
      <c r="K26" s="1"/>
      <c r="L26" s="1" cm="1">
        <f t="array" ref="L26">_xlfn.IFS(L25=1,(L7+0.8*ABS((L23-L7)/(L24-L6))*L6-L22)/(L21+0.8*ABS((L23-L7)/(L24-L6))),L25=2,(L7-0.8*ABS((L23-L7)/(L24-L6))*L6-L22)/(L21-0.8*ABS((L23-L7)/(L24-L6))),L25=3,L6)</f>
        <v>424.45141064673118</v>
      </c>
      <c r="M26" s="1">
        <f>L26+'Geometry Calculator'!O8</f>
        <v>424.45141064673118</v>
      </c>
      <c r="N26" s="1">
        <f>M26*COS(M20)-M27*SIN(M20)</f>
        <v>424.45141064673118</v>
      </c>
      <c r="O26" s="1"/>
      <c r="P26" s="1" cm="1">
        <f t="array" ref="P26">_xlfn.IFS(P25=1,(P7+0.8*ABS((P23-P7)/(P24-P6))*P6-P22)/(P21+0.8*ABS((P23-P7)/(P24-P6))),P25=2,(P7-0.8*ABS((P23-P7)/(P24-P6))*P6-P22)/(P21-0.8*ABS((P23-P7)/(P24-P6))),P25=3,P6)</f>
        <v>411.33927602406266</v>
      </c>
      <c r="Q26" s="1">
        <f>P26+'Geometry Calculator'!S8</f>
        <v>411.33927602406266</v>
      </c>
      <c r="R26" s="1">
        <f>Q26*COS(Q20)-Q27*SIN(Q20)</f>
        <v>409.58542623335541</v>
      </c>
      <c r="S26" s="1"/>
      <c r="T26" s="1" cm="1">
        <f t="array" ref="T26">_xlfn.IFS(T25=1,(T7+0.8*ABS((T23-T7)/(T24-T6))*T6-T22)/(T21+0.8*ABS((T23-T7)/(T24-T6))),T25=2,(T7-0.8*ABS((T23-T7)/(T24-T6))*T6-T22)/(T21-0.8*ABS((T23-T7)/(T24-T6))),T25=3,T6)</f>
        <v>433.58966777357597</v>
      </c>
      <c r="U26" s="1">
        <f>T26+'Geometry Calculator'!W8</f>
        <v>433.58966777357597</v>
      </c>
      <c r="V26" s="1">
        <f>U26*COS(U20)-U27*SIN(U20)</f>
        <v>434.82713178916873</v>
      </c>
      <c r="W26" s="1"/>
      <c r="X26" s="1" cm="1">
        <f t="array" ref="X26">_xlfn.IFS(X25=1,(X7+0.8*ABS((X23-X7)/(X24-X6))*X6-X22)/(X21+0.8*ABS((X23-X7)/(X24-X6))),X25=2,(X7-0.8*ABS((X23-X7)/(X24-X6))*X6-X22)/(X21-0.8*ABS((X23-X7)/(X24-X6))),X25=3,X6)</f>
        <v>469.85928744678444</v>
      </c>
      <c r="Y26" s="1">
        <f>X26+'Geometry Calculator'!AA8</f>
        <v>469.85928744678444</v>
      </c>
      <c r="Z26" s="1">
        <f>Y26*COS(Y20)-Y27*SIN(Y20)</f>
        <v>470.58784406291016</v>
      </c>
      <c r="AB26" s="159"/>
      <c r="AC26" s="1"/>
      <c r="AD26" s="1"/>
    </row>
    <row r="27" spans="6:30" x14ac:dyDescent="0.25">
      <c r="F27" t="s">
        <v>49</v>
      </c>
      <c r="H27" s="1">
        <f>IF('Geometry Calculator'!H46=90,0.8*H23,H21*H26+H22)</f>
        <v>171.89084837904329</v>
      </c>
      <c r="I27" s="1">
        <f>H27</f>
        <v>171.89084837904329</v>
      </c>
      <c r="J27" s="1">
        <f>I26*SIN(I20)+I27*COS(I20)</f>
        <v>177.31141632649238</v>
      </c>
      <c r="K27" s="1"/>
      <c r="L27" s="1">
        <f>IF('Geometry Calculator'!L46=90,0.8*L23,L21*L26+L22)</f>
        <v>26.565135808117248</v>
      </c>
      <c r="M27" s="1">
        <f>L27</f>
        <v>26.565135808117248</v>
      </c>
      <c r="N27" s="1">
        <f>M26*SIN(M20)+M27*COS(M20)</f>
        <v>26.565135808117248</v>
      </c>
      <c r="O27" s="1"/>
      <c r="P27" s="1">
        <f>IF('Geometry Calculator'!P46=90,0.8*P23,P21*P26+P22)</f>
        <v>83.193262341821764</v>
      </c>
      <c r="Q27" s="1">
        <f>P27</f>
        <v>83.193262341821764</v>
      </c>
      <c r="R27" s="1">
        <f>Q26*SIN(Q20)+Q27*COS(Q20)</f>
        <v>91.437943526283405</v>
      </c>
      <c r="S27" s="1"/>
      <c r="T27" s="1">
        <f>IF('Geometry Calculator'!T46=90,0.8*T23,T21*T26+T22)</f>
        <v>165.54921639490158</v>
      </c>
      <c r="U27" s="1">
        <f>T27</f>
        <v>165.54921639490158</v>
      </c>
      <c r="V27" s="1">
        <f>U26*SIN(U20)+U27*COS(U20)</f>
        <v>162.27109572863193</v>
      </c>
      <c r="W27" s="1"/>
      <c r="X27" s="1">
        <f>IF('Geometry Calculator'!X46=90,0.8*X23,X21*X26+X22)</f>
        <v>97.735064171270551</v>
      </c>
      <c r="Y27" s="1">
        <f>X27</f>
        <v>97.735064171270551</v>
      </c>
      <c r="Z27" s="1">
        <f>Y26*SIN(Y20)+Y27*COS(Y20)</f>
        <v>94.164610065483316</v>
      </c>
      <c r="AB27" s="159"/>
      <c r="AC27" s="1"/>
      <c r="AD27" s="1"/>
    </row>
    <row r="28" spans="6:30" x14ac:dyDescent="0.25">
      <c r="F28" t="s">
        <v>36</v>
      </c>
      <c r="H28" s="1">
        <f>((2*H7*H21^2)+2*H6*H21+2*H22+SQRT((-2*H7*H21^2-2*H6*H21-2*H22)^2-4*(H21^2+1)*(H7^2*H21^2+H6^2*H21^2+2*H6*H22*H21+H22^2-H21^2*'Geometry Calculator'!H16^2)))/(2*(H21^2+1))</f>
        <v>391.81679423807486</v>
      </c>
      <c r="I28" s="1">
        <f>H28</f>
        <v>391.81679423807486</v>
      </c>
      <c r="J28" s="1">
        <f>I29*SIN(I20)+I28*COS(I20)</f>
        <v>396.29954813755143</v>
      </c>
      <c r="K28" s="1"/>
      <c r="L28" s="1">
        <f>((2*L7*L21^2)+2*L6*L21+2*L22+SQRT((-2*L7*L21^2-2*L6*L21-2*L22)^2-4*(L21^2+1)*(L7^2*L21^2+L6^2*L21^2+2*L6*L22*L21+L22^2-L21^2*'Geometry Calculator'!L16^2)))/(2*(L21^2+1))</f>
        <v>345.35482894406766</v>
      </c>
      <c r="M28" s="1">
        <f>L28</f>
        <v>345.35482894406766</v>
      </c>
      <c r="N28" s="1">
        <f>M29*SIN(M20)+M28*COS(M20)</f>
        <v>345.35482894406766</v>
      </c>
      <c r="O28" s="1"/>
      <c r="P28" s="1">
        <f>((2*P7*P21^2)+2*P6*P21+2*P22+SQRT((-2*P7*P21^2-2*P6*P21-2*P22)^2-4*(P21^2+1)*(P7^2*P21^2+P6^2*P21^2+2*P6*P22*P21+P22^2-P21^2*'Geometry Calculator'!P16^2)))/(2*(P21^2+1))</f>
        <v>354.48047378048665</v>
      </c>
      <c r="Q28" s="1">
        <f>P28</f>
        <v>354.48047378048665</v>
      </c>
      <c r="R28" s="1">
        <f>Q29*SIN(Q20)+Q28*COS(Q20)</f>
        <v>360.79432532343634</v>
      </c>
      <c r="S28" s="1"/>
      <c r="T28" s="1">
        <f>((2*T7*T21^2)+2*T6*T21+2*T22+SQRT((-2*T7*T21^2-2*T6*T21-2*T22)^2-4*(T21^2+1)*(T7^2*T21^2+T6^2*T21^2+2*T6*T22*T21+T22^2-T21^2*'Geometry Calculator'!T16^2)))/(2*(T21^2+1))</f>
        <v>417.25324012080284</v>
      </c>
      <c r="U28" s="1">
        <f>T28</f>
        <v>417.25324012080284</v>
      </c>
      <c r="V28" s="1">
        <f>U29*SIN(U20)+U28*COS(U20)</f>
        <v>414.75117277550663</v>
      </c>
      <c r="W28" s="1"/>
      <c r="X28" s="1">
        <f>((2*X7*X21^2)+2*X6*X21+2*X22+SQRT((-2*X7*X21^2-2*X6*X21-2*X22)^2-4*(X21^2+1)*(X7^2*X21^2+X6^2*X21^2+2*X6*X22*X21+X22^2-X21^2*'Geometry Calculator'!X16^2)))/(2*(X21^2+1))</f>
        <v>444.77325714152556</v>
      </c>
      <c r="Y28" s="1">
        <f>X28</f>
        <v>444.77325714152556</v>
      </c>
      <c r="Z28" s="1">
        <f>Y29*SIN(Y20)+Y28*COS(Y20)</f>
        <v>442.04898095619137</v>
      </c>
      <c r="AB28" s="159"/>
      <c r="AC28" s="1"/>
      <c r="AD28" s="1"/>
    </row>
    <row r="29" spans="6:30" x14ac:dyDescent="0.25">
      <c r="F29" t="s">
        <v>11</v>
      </c>
      <c r="H29" s="1">
        <f>(H28-H22)/H21</f>
        <v>360.75401917775736</v>
      </c>
      <c r="I29" s="1">
        <f>H29+'Geometry Calculator'!K8</f>
        <v>370.75401917775736</v>
      </c>
      <c r="J29" s="1">
        <f>I29*COS(I20)-I28*SIN(I20)</f>
        <v>365.95848279475007</v>
      </c>
      <c r="K29" s="1"/>
      <c r="L29" s="1">
        <f>(L28-L22)/L21</f>
        <v>336.04320434682785</v>
      </c>
      <c r="M29" s="1">
        <f>L29+'Geometry Calculator'!O8</f>
        <v>336.04320434682785</v>
      </c>
      <c r="N29" s="1">
        <f>M29*COS(M20)-M28*SIN(M20)</f>
        <v>336.04320434682785</v>
      </c>
      <c r="O29" s="1"/>
      <c r="P29" s="1">
        <f>(P28-P22)/P21</f>
        <v>317.92759799337836</v>
      </c>
      <c r="Q29" s="1">
        <f>P29+'Geometry Calculator'!S8</f>
        <v>317.92759799337836</v>
      </c>
      <c r="R29" s="1">
        <f>Q29*COS(Q20)-Q28*SIN(Q20)</f>
        <v>310.74397608301894</v>
      </c>
      <c r="S29" s="1"/>
      <c r="T29" s="1">
        <f>(T28-T22)/T21</f>
        <v>329.84475560803622</v>
      </c>
      <c r="U29" s="1">
        <f>T29+'Geometry Calculator'!W8</f>
        <v>329.84475560803622</v>
      </c>
      <c r="V29" s="1">
        <f>U29*COS(U20)-U28*SIN(U20)</f>
        <v>332.98542591947677</v>
      </c>
      <c r="W29" s="1"/>
      <c r="X29" s="1">
        <f>(X28-X22)/X21</f>
        <v>357.09974320567238</v>
      </c>
      <c r="Y29" s="1">
        <f>X29+'Geometry Calculator'!AA8</f>
        <v>357.09974320567238</v>
      </c>
      <c r="Z29" s="1">
        <f>Y29*COS(Y20)-Y28*SIN(Y20)</f>
        <v>360.46660774811238</v>
      </c>
      <c r="AB29" s="159"/>
      <c r="AC29" s="1"/>
      <c r="AD29" s="1"/>
    </row>
    <row r="30" spans="6:30" x14ac:dyDescent="0.25">
      <c r="F30" t="s">
        <v>50</v>
      </c>
      <c r="H30" s="1">
        <f>H10+'Geometry Calculator'!H37*COS(RADIANS(180-'Geometry Calculator'!H14))</f>
        <v>874.26015134353804</v>
      </c>
      <c r="I30" s="1">
        <f>I10+'Geometry Calculator'!J37*COS(RADIANS(180-('Geometry Calculator'!H14+'Geometry Calculator'!K5)))</f>
        <v>874.61088783474713</v>
      </c>
      <c r="J30" s="1">
        <f>I30*COS(I20)-I31*SIN(I20)</f>
        <v>866.65750713656769</v>
      </c>
      <c r="K30" s="1"/>
      <c r="L30" s="1">
        <f>L10+'Geometry Calculator'!L37*COS(RADIANS(180-'Geometry Calculator'!L14))</f>
        <v>878.39191670058449</v>
      </c>
      <c r="M30" s="1">
        <f>M10+'Geometry Calculator'!N37*COS(RADIANS(180-('Geometry Calculator'!L14+'Geometry Calculator'!O5)))</f>
        <v>878.39191670058449</v>
      </c>
      <c r="N30" s="1">
        <f>M30*COS(M20)-M31*SIN(M20)</f>
        <v>878.39191670058449</v>
      </c>
      <c r="O30" s="1"/>
      <c r="P30" s="1">
        <f>P10+'Geometry Calculator'!P37*COS(RADIANS(180-'Geometry Calculator'!P14))</f>
        <v>844.48197932034657</v>
      </c>
      <c r="Q30" s="1">
        <f>Q10+'Geometry Calculator'!R37*COS(RADIANS(180-('Geometry Calculator'!P14+'Geometry Calculator'!S5)))</f>
        <v>840.4820682789184</v>
      </c>
      <c r="R30" s="1">
        <f>Q30*COS(Q20)-Q31*SIN(Q20)</f>
        <v>828.09946021269548</v>
      </c>
      <c r="S30" s="1"/>
      <c r="T30" s="1">
        <f>T10+'Geometry Calculator'!T37*COS(RADIANS(180-'Geometry Calculator'!T14))</f>
        <v>879.24095594764083</v>
      </c>
      <c r="U30" s="1">
        <f>U10+'Geometry Calculator'!V37*COS(RADIANS(180-('Geometry Calculator'!T14+'Geometry Calculator'!W5)))</f>
        <v>874.41602402299009</v>
      </c>
      <c r="V30" s="1">
        <f>U30*COS(U20)-U31*SIN(U20)</f>
        <v>879.02255381336897</v>
      </c>
      <c r="W30" s="1"/>
      <c r="X30" s="1">
        <f>X10+'Geometry Calculator'!X37*COS(RADIANS(180-'Geometry Calculator'!X14))</f>
        <v>863.50671162207755</v>
      </c>
      <c r="Y30" s="1">
        <f>Y10+'Geometry Calculator'!Z37*COS(RADIANS(180-('Geometry Calculator'!X14+'Geometry Calculator'!AA5)))</f>
        <v>857.46616221543036</v>
      </c>
      <c r="Z30" s="1">
        <f>Y30*COS(Y20)-Y31*SIN(Y20)</f>
        <v>862.46702723439955</v>
      </c>
      <c r="AB30" s="159"/>
      <c r="AC30" s="1"/>
      <c r="AD30" s="1"/>
    </row>
    <row r="31" spans="6:30" x14ac:dyDescent="0.25">
      <c r="F31" t="s">
        <v>51</v>
      </c>
      <c r="H31" s="1">
        <f>H11+'Geometry Calculator'!H37*SIN(RADIANS(180-'Geometry Calculator'!H14))</f>
        <v>641.80341137399444</v>
      </c>
      <c r="I31" s="1">
        <f>I11+'Geometry Calculator'!J37*SIN(RADIANS(180-('Geometry Calculator'!H14+'Geometry Calculator'!K5)))</f>
        <v>648.24648820587731</v>
      </c>
      <c r="J31" s="1">
        <f>I30*SIN(I20)+I31*COS(I20)</f>
        <v>658.84177153104645</v>
      </c>
      <c r="K31" s="1"/>
      <c r="L31" s="1">
        <f>L11+'Geometry Calculator'!L37*SIN(RADIANS(180-'Geometry Calculator'!L14))</f>
        <v>618.43969590739266</v>
      </c>
      <c r="M31" s="1">
        <f>M11+'Geometry Calculator'!N37*SIN(RADIANS(180-('Geometry Calculator'!L14+'Geometry Calculator'!O5)))</f>
        <v>618.43969590739266</v>
      </c>
      <c r="N31" s="1">
        <f>M30*SIN(M20)+M31*COS(M20)</f>
        <v>618.43969590739266</v>
      </c>
      <c r="O31" s="1"/>
      <c r="P31" s="1">
        <f>P11+'Geometry Calculator'!P37*SIN(RADIANS(180-'Geometry Calculator'!P14))</f>
        <v>609.72327345550548</v>
      </c>
      <c r="Q31" s="1">
        <f>Q11+'Geometry Calculator'!R37*SIN(RADIANS(180-('Geometry Calculator'!P14+'Geometry Calculator'!S5)))</f>
        <v>608.09057308239187</v>
      </c>
      <c r="R31" s="1">
        <f>Q30*SIN(Q20)+Q31*COS(Q20)</f>
        <v>624.84841054892888</v>
      </c>
      <c r="S31" s="1"/>
      <c r="T31" s="1">
        <f>T11+'Geometry Calculator'!T37*SIN(RADIANS(180-'Geometry Calculator'!T14))</f>
        <v>615.59946304979007</v>
      </c>
      <c r="U31" s="1">
        <f>U11+'Geometry Calculator'!V37*SIN(RADIANS(180-('Geometry Calculator'!T14+'Geometry Calculator'!W5)))</f>
        <v>613.47428798303577</v>
      </c>
      <c r="V31" s="1">
        <f>U30*SIN(U20)+U31*COS(U20)</f>
        <v>606.8553657766322</v>
      </c>
      <c r="W31" s="1"/>
      <c r="X31" s="1">
        <f>X11+'Geometry Calculator'!X37*SIN(RADIANS(180-'Geometry Calculator'!X14))</f>
        <v>664.34947971030692</v>
      </c>
      <c r="Y31" s="1">
        <f>Y11+'Geometry Calculator'!Z37*SIN(RADIANS(180-('Geometry Calculator'!X14+'Geometry Calculator'!AA5)))</f>
        <v>661.87148952078871</v>
      </c>
      <c r="Z31" s="1">
        <f>Y30*SIN(Y20)+Y31*COS(Y20)</f>
        <v>655.34167799582519</v>
      </c>
      <c r="AB31" s="159"/>
      <c r="AC31" s="1"/>
      <c r="AD31" s="1"/>
    </row>
    <row r="32" spans="6:30" x14ac:dyDescent="0.25">
      <c r="F32" t="s">
        <v>7</v>
      </c>
      <c r="H32" s="1">
        <f>H30+'Geometry Calculator'!H35*COS(RADIANS(90+'Geometry Calculator'!H36-'Geometry Calculator'!H14))</f>
        <v>910.36356271753243</v>
      </c>
      <c r="I32" s="1">
        <f>I30+'Geometry Calculator'!J35*COS(RADIANS(90+'Geometry Calculator'!J36-('Geometry Calculator'!H14+'Geometry Calculator'!K5)))</f>
        <v>910.09132116187595</v>
      </c>
      <c r="J32" s="1">
        <f>I32*COS(I20)-I33*SIN(I20)</f>
        <v>901.91054944379869</v>
      </c>
      <c r="K32" s="1"/>
      <c r="L32" s="1">
        <f>L30+'Geometry Calculator'!L35*COS(RADIANS(90+'Geometry Calculator'!L36-'Geometry Calculator'!L14))</f>
        <v>914.64422818205048</v>
      </c>
      <c r="M32" s="1">
        <f>M30+'Geometry Calculator'!N35*COS(RADIANS(90+'Geometry Calculator'!N36-('Geometry Calculator'!L14+'Geometry Calculator'!O5)))</f>
        <v>914.64422818205048</v>
      </c>
      <c r="N32" s="1">
        <f>M32*COS(M20)-M33*SIN(M20)</f>
        <v>914.64422818205048</v>
      </c>
      <c r="O32" s="1"/>
      <c r="P32" s="1">
        <f>P30+'Geometry Calculator'!P35*COS(RADIANS(90+'Geometry Calculator'!P36-'Geometry Calculator'!P14))</f>
        <v>886.20525277585205</v>
      </c>
      <c r="Q32" s="1">
        <f>Q30+'Geometry Calculator'!R35*COS(RADIANS(90+'Geometry Calculator'!R36-('Geometry Calculator'!P14+'Geometry Calculator'!S5)))</f>
        <v>881.74977162624896</v>
      </c>
      <c r="R32" s="1">
        <f>Q32*COS(Q20)-Q33*SIN(Q20)</f>
        <v>868.99845260864026</v>
      </c>
      <c r="S32" s="1"/>
      <c r="T32" s="1">
        <f>T30+'Geometry Calculator'!T35*COS(RADIANS(90+'Geometry Calculator'!T36-'Geometry Calculator'!T14))</f>
        <v>915.92335892304584</v>
      </c>
      <c r="U32" s="1">
        <f>U30+'Geometry Calculator'!V35*COS(RADIANS(90+'Geometry Calculator'!V36-('Geometry Calculator'!T14+'Geometry Calculator'!W5)))</f>
        <v>910.51943539698448</v>
      </c>
      <c r="V32" s="1">
        <f>U32*COS(U20)-U33*SIN(U20)</f>
        <v>915.25494274624111</v>
      </c>
      <c r="W32" s="1"/>
      <c r="X32" s="1">
        <f>X30+'Geometry Calculator'!X35*COS(RADIANS(90+'Geometry Calculator'!X36-'Geometry Calculator'!X14))</f>
        <v>908.82210097390998</v>
      </c>
      <c r="Y32" s="1">
        <f>Y30+'Geometry Calculator'!Z35*COS(RADIANS(90+'Geometry Calculator'!Z36-('Geometry Calculator'!X14+'Geometry Calculator'!AA5)))</f>
        <v>902.01648842484872</v>
      </c>
      <c r="Z32" s="1">
        <f>Y32*COS(Y20)-Y33*SIN(Y20)</f>
        <v>907.18842644146059</v>
      </c>
      <c r="AB32" s="159"/>
      <c r="AC32" s="1"/>
      <c r="AD32" s="1"/>
    </row>
    <row r="33" spans="6:30" x14ac:dyDescent="0.25">
      <c r="F33" t="s">
        <v>9</v>
      </c>
      <c r="H33" s="1">
        <f>H31+'Geometry Calculator'!H35*SIN(RADIANS(90+'Geometry Calculator'!H36-'Geometry Calculator'!H14))</f>
        <v>659.02385524632621</v>
      </c>
      <c r="I33" s="1">
        <f>I31+'Geometry Calculator'!J35*SIN(RADIANS(90+'Geometry Calculator'!J36-('Geometry Calculator'!H14+'Geometry Calculator'!K5)))</f>
        <v>666.71643273527866</v>
      </c>
      <c r="J33" s="1">
        <f>I32*SIN(I20)+I33*COS(I20)</f>
        <v>677.74211565713506</v>
      </c>
      <c r="K33" s="1"/>
      <c r="L33" s="1">
        <f>L31+'Geometry Calculator'!L35*SIN(RADIANS(90+'Geometry Calculator'!L36-'Geometry Calculator'!L14))</f>
        <v>635.34442637702068</v>
      </c>
      <c r="M33" s="1">
        <f>M31+'Geometry Calculator'!N35*SIN(RADIANS(90+'Geometry Calculator'!N36-('Geometry Calculator'!L14+'Geometry Calculator'!O5)))</f>
        <v>635.34442637702068</v>
      </c>
      <c r="N33" s="1">
        <f>M32*SIN(M20)+M33*COS(M20)</f>
        <v>635.34442637702068</v>
      </c>
      <c r="O33" s="1"/>
      <c r="P33" s="1">
        <f>P31+'Geometry Calculator'!P35*SIN(RADIANS(90+'Geometry Calculator'!P36-'Geometry Calculator'!P14))</f>
        <v>626.58057015922157</v>
      </c>
      <c r="Q33" s="1">
        <f>Q31+'Geometry Calculator'!R35*SIN(RADIANS(90+'Geometry Calculator'!R36-('Geometry Calculator'!P14+'Geometry Calculator'!S5)))</f>
        <v>626.03428118402792</v>
      </c>
      <c r="R33" s="1">
        <f>Q32*SIN(Q20)+Q33*COS(Q20)</f>
        <v>643.61733222803559</v>
      </c>
      <c r="S33" s="1"/>
      <c r="T33" s="1">
        <f>T31+'Geometry Calculator'!T35*SIN(RADIANS(90+'Geometry Calculator'!T36-'Geometry Calculator'!T14))</f>
        <v>631.54942580679995</v>
      </c>
      <c r="U33" s="1">
        <f>U31+'Geometry Calculator'!V35*SIN(RADIANS(90+'Geometry Calculator'!V36-('Geometry Calculator'!T14+'Geometry Calculator'!W5)))</f>
        <v>630.69473185536754</v>
      </c>
      <c r="V33" s="1">
        <f>U32*SIN(U20)+U33*COS(U20)</f>
        <v>623.80275472646997</v>
      </c>
      <c r="W33" s="1"/>
      <c r="X33" s="1">
        <f>X31+'Geometry Calculator'!X35*SIN(RADIANS(90+'Geometry Calculator'!X36-'Geometry Calculator'!X14))</f>
        <v>685.48039279734189</v>
      </c>
      <c r="Y33" s="1">
        <f>Y31+'Geometry Calculator'!Z35*SIN(RADIANS(90+'Geometry Calculator'!Z36-('Geometry Calculator'!X14+'Geometry Calculator'!AA5)))</f>
        <v>684.57101450776599</v>
      </c>
      <c r="Z33" s="1">
        <f>Y32*SIN(Y20)+Y33*COS(Y20)</f>
        <v>677.70227845651652</v>
      </c>
      <c r="AB33" s="159"/>
      <c r="AC33" s="1"/>
      <c r="AD33" s="1"/>
    </row>
    <row r="34" spans="6:30" x14ac:dyDescent="0.25">
      <c r="F34" t="s">
        <v>71</v>
      </c>
      <c r="H34" s="1">
        <f>H32+'Geometry Calculator'!H38*COS(RADIANS(90-'Geometry Calculator'!H41))</f>
        <v>905.18718181548206</v>
      </c>
      <c r="I34" s="2"/>
      <c r="J34" s="1">
        <f>J32+'Geometry Calculator'!J38*COS(RADIANS(90-'Geometry Calculator'!J41))</f>
        <v>896.063115349344</v>
      </c>
      <c r="K34" s="1"/>
      <c r="L34" s="1">
        <f>L32+'Geometry Calculator'!L38*COS(RADIANS(90-'Geometry Calculator'!L41))</f>
        <v>914.64422818205048</v>
      </c>
      <c r="M34" s="2"/>
      <c r="N34" s="1">
        <f>N32+'Geometry Calculator'!N38*COS(RADIANS(90-'Geometry Calculator'!N41))</f>
        <v>914.64422818205048</v>
      </c>
      <c r="O34" s="1"/>
      <c r="P34" s="1">
        <f>P32+'Geometry Calculator'!P38*COS(RADIANS(90-'Geometry Calculator'!P41))</f>
        <v>886.20525277585205</v>
      </c>
      <c r="Q34" s="2"/>
      <c r="R34" s="1">
        <f>R32+'Geometry Calculator'!R38*COS(RADIANS(90-'Geometry Calculator'!R41))</f>
        <v>868.99845260864026</v>
      </c>
      <c r="S34" s="1"/>
      <c r="T34" s="1">
        <f>T32+'Geometry Calculator'!T38*COS(RADIANS(90-'Geometry Calculator'!T41))</f>
        <v>915.92335892304584</v>
      </c>
      <c r="U34" s="2"/>
      <c r="V34" s="1">
        <f>V32+'Geometry Calculator'!V38*COS(RADIANS(90-'Geometry Calculator'!V41))</f>
        <v>915.25494274624111</v>
      </c>
      <c r="W34" s="1"/>
      <c r="X34" s="1">
        <f>X32+'Geometry Calculator'!X38*COS(RADIANS(90-'Geometry Calculator'!X41))</f>
        <v>908.82210097390998</v>
      </c>
      <c r="Y34" s="2"/>
      <c r="Z34" s="1">
        <f>Z32+'Geometry Calculator'!Z38*COS(RADIANS(90-'Geometry Calculator'!Z41))</f>
        <v>907.18842644146059</v>
      </c>
      <c r="AB34" s="159"/>
      <c r="AC34" s="2"/>
      <c r="AD34" s="1"/>
    </row>
    <row r="35" spans="6:30" x14ac:dyDescent="0.25">
      <c r="F35" t="s">
        <v>72</v>
      </c>
      <c r="H35" s="1">
        <f>H33+'Geometry Calculator'!H38*SIN(RADIANS(90-'Geometry Calculator'!H41))</f>
        <v>678.34237177210753</v>
      </c>
      <c r="I35" s="2"/>
      <c r="J35" s="1">
        <f>J33+'Geometry Calculator'!J38*SIN(RADIANS(90-'Geometry Calculator'!J41))</f>
        <v>696.86821077639581</v>
      </c>
      <c r="K35" s="1"/>
      <c r="L35" s="1">
        <f>L33+'Geometry Calculator'!L38*SIN(RADIANS(90-'Geometry Calculator'!L41))</f>
        <v>660.34442637702068</v>
      </c>
      <c r="M35" s="2"/>
      <c r="N35" s="1">
        <f>N33+'Geometry Calculator'!N38*SIN(RADIANS(90-'Geometry Calculator'!N41))</f>
        <v>660.34442637702068</v>
      </c>
      <c r="O35" s="1"/>
      <c r="P35" s="1">
        <f>P33+'Geometry Calculator'!P38*SIN(RADIANS(90-'Geometry Calculator'!P41))</f>
        <v>638.58057015922157</v>
      </c>
      <c r="Q35" s="2"/>
      <c r="R35" s="1">
        <f>R33+'Geometry Calculator'!R38*SIN(RADIANS(90-'Geometry Calculator'!R41))</f>
        <v>655.61733222803559</v>
      </c>
      <c r="S35" s="1"/>
      <c r="T35" s="1">
        <f>T33+'Geometry Calculator'!T38*SIN(RADIANS(90-'Geometry Calculator'!T41))</f>
        <v>651.54942580679995</v>
      </c>
      <c r="U35" s="2"/>
      <c r="V35" s="1">
        <f>V33+'Geometry Calculator'!V38*SIN(RADIANS(90-'Geometry Calculator'!V41))</f>
        <v>643.80275472646997</v>
      </c>
      <c r="W35" s="1"/>
      <c r="X35" s="1">
        <f>X33+'Geometry Calculator'!X38*SIN(RADIANS(90-'Geometry Calculator'!X41))</f>
        <v>697.48039279734189</v>
      </c>
      <c r="Y35" s="2"/>
      <c r="Z35" s="1">
        <f>Z33+'Geometry Calculator'!Z38*SIN(RADIANS(90-'Geometry Calculator'!Z41))</f>
        <v>689.70227845651652</v>
      </c>
      <c r="AB35" s="159"/>
      <c r="AC35" s="2"/>
      <c r="AD35" s="1"/>
    </row>
    <row r="36" spans="6:30" x14ac:dyDescent="0.25">
      <c r="F36" t="s">
        <v>317</v>
      </c>
      <c r="H36" s="1">
        <f>H56-('Geometry Calculator'!H42)*COS(RADIANS('Geometry Calculator'!H39))*SIN(RADIANS(90-'Geometry Calculator'!H40))</f>
        <v>103.78005606442667</v>
      </c>
      <c r="I36" s="2"/>
      <c r="J36" s="1">
        <f>J56-('Geometry Calculator'!J42)*COS(RADIANS('Geometry Calculator'!J39))*SIN(RADIANS(90-'Geometry Calculator'!J40))</f>
        <v>103.78005606442667</v>
      </c>
      <c r="K36" s="1"/>
      <c r="L36" s="1">
        <f>L56-('Geometry Calculator'!L42)*COS(RADIANS('Geometry Calculator'!L39))*SIN(RADIANS(90-'Geometry Calculator'!L40))</f>
        <v>151.75335667476295</v>
      </c>
      <c r="M36" s="2"/>
      <c r="N36" s="1">
        <f>N56-('Geometry Calculator'!N42)*COS(RADIANS('Geometry Calculator'!N39))*SIN(RADIANS(90-'Geometry Calculator'!N40))</f>
        <v>151.75335667476295</v>
      </c>
      <c r="O36" s="1"/>
      <c r="P36" s="1">
        <f>P56-('Geometry Calculator'!P42)*COS(RADIANS('Geometry Calculator'!P39))*SIN(RADIANS(90-'Geometry Calculator'!P40))</f>
        <v>154.25335667476295</v>
      </c>
      <c r="Q36" s="2"/>
      <c r="R36" s="1">
        <f>R56-('Geometry Calculator'!R42)*COS(RADIANS('Geometry Calculator'!R39))*SIN(RADIANS(90-'Geometry Calculator'!R40))</f>
        <v>154.25335667476295</v>
      </c>
      <c r="S36" s="1"/>
      <c r="T36" s="1">
        <f>T56-('Geometry Calculator'!T42)*COS(RADIANS('Geometry Calculator'!T39))*SIN(RADIANS(90-'Geometry Calculator'!T40))</f>
        <v>153.93717737436194</v>
      </c>
      <c r="U36" s="2"/>
      <c r="V36" s="1">
        <f>V56-('Geometry Calculator'!V42)*COS(RADIANS('Geometry Calculator'!V39))*SIN(RADIANS(90-'Geometry Calculator'!V40))</f>
        <v>153.93717737436194</v>
      </c>
      <c r="W36" s="1"/>
      <c r="X36" s="1">
        <f>X56-('Geometry Calculator'!X42)*COS(RADIANS('Geometry Calculator'!X39))*SIN(RADIANS(90-'Geometry Calculator'!X40))</f>
        <v>151.25335667476295</v>
      </c>
      <c r="Y36" s="2"/>
      <c r="Z36" s="1">
        <f>Z56-('Geometry Calculator'!Z42)*COS(RADIANS('Geometry Calculator'!Z39))*SIN(RADIANS(90-'Geometry Calculator'!Z40))</f>
        <v>151.25335667476295</v>
      </c>
      <c r="AB36" s="159"/>
      <c r="AC36" s="2"/>
      <c r="AD36" s="1"/>
    </row>
    <row r="37" spans="6:30" x14ac:dyDescent="0.25">
      <c r="F37" t="s">
        <v>318</v>
      </c>
      <c r="H37" s="1">
        <f>-H36</f>
        <v>-103.78005606442667</v>
      </c>
      <c r="I37" s="2"/>
      <c r="J37" s="1">
        <f t="shared" ref="J37" si="6">-J36</f>
        <v>-103.78005606442667</v>
      </c>
      <c r="K37" s="1"/>
      <c r="L37" s="1">
        <f>-L36</f>
        <v>-151.75335667476295</v>
      </c>
      <c r="M37" s="2"/>
      <c r="N37" s="1">
        <f t="shared" ref="N37" si="7">-N36</f>
        <v>-151.75335667476295</v>
      </c>
      <c r="O37" s="1"/>
      <c r="P37" s="1">
        <f>-P36</f>
        <v>-154.25335667476295</v>
      </c>
      <c r="Q37" s="2"/>
      <c r="R37" s="1">
        <f t="shared" ref="R37" si="8">-R36</f>
        <v>-154.25335667476295</v>
      </c>
      <c r="S37" s="1"/>
      <c r="T37" s="1">
        <f>-T36</f>
        <v>-153.93717737436194</v>
      </c>
      <c r="U37" s="2"/>
      <c r="V37" s="1">
        <f t="shared" ref="V37" si="9">-V36</f>
        <v>-153.93717737436194</v>
      </c>
      <c r="W37" s="1"/>
      <c r="X37" s="1">
        <f>-X36</f>
        <v>-151.25335667476295</v>
      </c>
      <c r="Y37" s="2"/>
      <c r="Z37" s="1">
        <f t="shared" ref="Z37" si="10">-Z36</f>
        <v>-151.25335667476295</v>
      </c>
      <c r="AB37" s="159"/>
      <c r="AC37" s="2"/>
      <c r="AD37" s="1"/>
    </row>
    <row r="38" spans="6:30" x14ac:dyDescent="0.25">
      <c r="F38" t="s">
        <v>69</v>
      </c>
      <c r="H38" s="1">
        <f>('Geometry Calculator'!H42-'Geometry Calculator'!H43/2)*SIN(RADIANS(-'Geometry Calculator'!H39))*SIN(RADIANS(90-'Geometry Calculator'!H40))</f>
        <v>-29.808353638081947</v>
      </c>
      <c r="I38" s="2"/>
      <c r="J38" s="1">
        <f>('Geometry Calculator'!J42-'Geometry Calculator'!J43/2)*SIN(RADIANS(-'Geometry Calculator'!J39))*SIN(RADIANS(90-'Geometry Calculator'!J40))</f>
        <v>-29.808353638081947</v>
      </c>
      <c r="K38" s="1"/>
      <c r="L38" s="1">
        <f>('Geometry Calculator'!L42-'Geometry Calculator'!L43/2)*SIN(RADIANS(-'Geometry Calculator'!L39))*SIN(RADIANS(90-'Geometry Calculator'!L40))</f>
        <v>-26.914907616382685</v>
      </c>
      <c r="M38" s="2"/>
      <c r="N38" s="1">
        <f>('Geometry Calculator'!N42-'Geometry Calculator'!N43/2)*SIN(RADIANS(-'Geometry Calculator'!N39))*SIN(RADIANS(90-'Geometry Calculator'!N40))</f>
        <v>-26.914907616382685</v>
      </c>
      <c r="O38" s="1"/>
      <c r="P38" s="1">
        <f>('Geometry Calculator'!P42-'Geometry Calculator'!P43/2)*SIN(RADIANS(-'Geometry Calculator'!P39))*SIN(RADIANS(90-'Geometry Calculator'!P40))</f>
        <v>-26.914907616382685</v>
      </c>
      <c r="Q38" s="2"/>
      <c r="R38" s="1">
        <f>('Geometry Calculator'!R42-'Geometry Calculator'!R43/2)*SIN(RADIANS(-'Geometry Calculator'!R39))*SIN(RADIANS(90-'Geometry Calculator'!R40))</f>
        <v>-26.914907616382685</v>
      </c>
      <c r="S38" s="1"/>
      <c r="T38" s="1">
        <f>('Geometry Calculator'!T42-'Geometry Calculator'!T43/2)*SIN(RADIANS(-'Geometry Calculator'!T39))*SIN(RADIANS(90-'Geometry Calculator'!T40))</f>
        <v>-27.73937487159758</v>
      </c>
      <c r="U38" s="2"/>
      <c r="V38" s="1">
        <f>('Geometry Calculator'!V42-'Geometry Calculator'!V43/2)*SIN(RADIANS(-'Geometry Calculator'!V39))*SIN(RADIANS(90-'Geometry Calculator'!V40))</f>
        <v>-27.73937487159758</v>
      </c>
      <c r="W38" s="1"/>
      <c r="X38" s="1">
        <f>('Geometry Calculator'!X42-'Geometry Calculator'!X43/2)*SIN(RADIANS(-'Geometry Calculator'!X39))*SIN(RADIANS(90-'Geometry Calculator'!X40))</f>
        <v>-26.914907616382685</v>
      </c>
      <c r="Y38" s="2"/>
      <c r="Z38" s="1">
        <f>('Geometry Calculator'!Z42-'Geometry Calculator'!Z43/2)*SIN(RADIANS(-'Geometry Calculator'!Z39))*SIN(RADIANS(90-'Geometry Calculator'!Z40))</f>
        <v>-26.914907616382685</v>
      </c>
      <c r="AB38" s="159"/>
      <c r="AC38" s="2"/>
      <c r="AD38" s="1"/>
    </row>
    <row r="39" spans="6:30" x14ac:dyDescent="0.25">
      <c r="F39" t="s">
        <v>70</v>
      </c>
      <c r="H39" s="1">
        <f>'Geometry Calculator'!H38+('Geometry Calculator'!H42-'Geometry Calculator'!H43/2)*COS(RADIANS(90-'Geometry Calculator'!H40))</f>
        <v>38.738484690746503</v>
      </c>
      <c r="I39" s="2"/>
      <c r="J39" s="1">
        <f>'Geometry Calculator'!J38+('Geometry Calculator'!J42-'Geometry Calculator'!J43/2)*COS(RADIANS(90-'Geometry Calculator'!J40))</f>
        <v>38.738484690746503</v>
      </c>
      <c r="K39" s="1"/>
      <c r="L39" s="1">
        <f>'Geometry Calculator'!L38+('Geometry Calculator'!L42-'Geometry Calculator'!L43/2)*COS(RADIANS(90-'Geometry Calculator'!L40))</f>
        <v>43.083424145304051</v>
      </c>
      <c r="M39" s="2"/>
      <c r="N39" s="1">
        <f>'Geometry Calculator'!N38+('Geometry Calculator'!N42-'Geometry Calculator'!N43/2)*COS(RADIANS(90-'Geometry Calculator'!N40))</f>
        <v>43.083424145304051</v>
      </c>
      <c r="O39" s="1"/>
      <c r="P39" s="1">
        <f>'Geometry Calculator'!P38+('Geometry Calculator'!P42-'Geometry Calculator'!P43/2)*COS(RADIANS(90-'Geometry Calculator'!P40))</f>
        <v>30.083424145304047</v>
      </c>
      <c r="Q39" s="2"/>
      <c r="R39" s="1">
        <f>'Geometry Calculator'!R38+('Geometry Calculator'!R42-'Geometry Calculator'!R43/2)*COS(RADIANS(90-'Geometry Calculator'!R40))</f>
        <v>30.083424145304047</v>
      </c>
      <c r="S39" s="1"/>
      <c r="T39" s="1">
        <f>'Geometry Calculator'!T38+('Geometry Calculator'!T42-'Geometry Calculator'!T43/2)*COS(RADIANS(90-'Geometry Calculator'!T40))</f>
        <v>35.513722209083149</v>
      </c>
      <c r="U39" s="2"/>
      <c r="V39" s="1">
        <f>'Geometry Calculator'!V38+('Geometry Calculator'!V42-'Geometry Calculator'!V43/2)*COS(RADIANS(90-'Geometry Calculator'!V40))</f>
        <v>35.513722209083149</v>
      </c>
      <c r="W39" s="1"/>
      <c r="X39" s="1">
        <f>'Geometry Calculator'!X38+('Geometry Calculator'!X42-'Geometry Calculator'!X43/2)*COS(RADIANS(90-'Geometry Calculator'!X40))</f>
        <v>30.083424145304047</v>
      </c>
      <c r="Y39" s="2"/>
      <c r="Z39" s="1">
        <f>'Geometry Calculator'!Z38+('Geometry Calculator'!Z42-'Geometry Calculator'!Z43/2)*COS(RADIANS(90-'Geometry Calculator'!Z40))</f>
        <v>30.083424145304047</v>
      </c>
      <c r="AB39" s="159"/>
      <c r="AC39" s="2"/>
      <c r="AD39" s="1"/>
    </row>
    <row r="40" spans="6:30" x14ac:dyDescent="0.25">
      <c r="F40" t="s">
        <v>73</v>
      </c>
      <c r="H40" s="1">
        <f>H32+H38*COS(RADIANS(-'Geometry Calculator'!H41))-H39*SIN(RADIANS(-'Geometry Calculator'!H41))</f>
        <v>871.5446464829738</v>
      </c>
      <c r="I40" s="2"/>
      <c r="J40" s="1">
        <f>J32+J38*COS(RADIANS(-'Geometry Calculator'!J41))-J39*SIN(RADIANS(-'Geometry Calculator'!J41))</f>
        <v>862.07864228486369</v>
      </c>
      <c r="K40" s="1"/>
      <c r="L40" s="1">
        <f>L32+L38*COS(RADIANS(-'Geometry Calculator'!L41))-L39*SIN(RADIANS(-'Geometry Calculator'!L41))</f>
        <v>887.72932056566776</v>
      </c>
      <c r="M40" s="2"/>
      <c r="N40" s="1">
        <f>N32+N38*COS(RADIANS(-'Geometry Calculator'!N41))-N39*SIN(RADIANS(-'Geometry Calculator'!N41))</f>
        <v>887.72932056566776</v>
      </c>
      <c r="O40" s="1"/>
      <c r="P40" s="1">
        <f>P32+P38*COS(RADIANS(-'Geometry Calculator'!P41))-P39*SIN(RADIANS(-'Geometry Calculator'!P41))</f>
        <v>859.29034515946933</v>
      </c>
      <c r="Q40" s="2"/>
      <c r="R40" s="1">
        <f>R32+R38*COS(RADIANS(-'Geometry Calculator'!R41))-R39*SIN(RADIANS(-'Geometry Calculator'!R41))</f>
        <v>842.08354499225754</v>
      </c>
      <c r="S40" s="1"/>
      <c r="T40" s="1">
        <f>T32+T38*COS(RADIANS(-'Geometry Calculator'!T41))-T39*SIN(RADIANS(-'Geometry Calculator'!T41))</f>
        <v>888.18398405144831</v>
      </c>
      <c r="U40" s="2"/>
      <c r="V40" s="1">
        <f>V32+V38*COS(RADIANS(-'Geometry Calculator'!V41))-V39*SIN(RADIANS(-'Geometry Calculator'!V41))</f>
        <v>887.51556787464358</v>
      </c>
      <c r="W40" s="1"/>
      <c r="X40" s="1">
        <f>X32+X38*COS(RADIANS(-'Geometry Calculator'!X41))-X39*SIN(RADIANS(-'Geometry Calculator'!X41))</f>
        <v>881.90719335752726</v>
      </c>
      <c r="Y40" s="2"/>
      <c r="Z40" s="1">
        <f>Z32+Z38*COS(RADIANS(-'Geometry Calculator'!Z41))-Z39*SIN(RADIANS(-'Geometry Calculator'!Z41))</f>
        <v>880.27351882507787</v>
      </c>
      <c r="AB40" s="159"/>
      <c r="AC40" s="2"/>
      <c r="AD40" s="1"/>
    </row>
    <row r="41" spans="6:30" x14ac:dyDescent="0.25">
      <c r="F41" t="s">
        <v>74</v>
      </c>
      <c r="H41" s="1">
        <f>H33+H38*SIN(RADIANS(-'Geometry Calculator'!H41))+H39*COS(RADIANS(-'Geometry Calculator'!H41))</f>
        <v>688.72738845573531</v>
      </c>
      <c r="I41" s="2"/>
      <c r="J41" s="1">
        <f>J33+J38*SIN(RADIANS(-'Geometry Calculator'!J41))+J39*COS(RADIANS(-'Geometry Calculator'!J41))</f>
        <v>706.07279363755299</v>
      </c>
      <c r="K41" s="1"/>
      <c r="L41" s="1">
        <f>L33+L38*SIN(RADIANS(-'Geometry Calculator'!L41))+L39*COS(RADIANS(-'Geometry Calculator'!L41))</f>
        <v>678.42785052232477</v>
      </c>
      <c r="M41" s="2"/>
      <c r="N41" s="1">
        <f>N33+N38*SIN(RADIANS(-'Geometry Calculator'!N41))+N39*COS(RADIANS(-'Geometry Calculator'!N41))</f>
        <v>678.42785052232477</v>
      </c>
      <c r="O41" s="1"/>
      <c r="P41" s="1">
        <f>P33+P38*SIN(RADIANS(-'Geometry Calculator'!P41))+P39*COS(RADIANS(-'Geometry Calculator'!P41))</f>
        <v>656.66399430452566</v>
      </c>
      <c r="Q41" s="2"/>
      <c r="R41" s="1">
        <f>R33+R38*SIN(RADIANS(-'Geometry Calculator'!R41))+R39*COS(RADIANS(-'Geometry Calculator'!R41))</f>
        <v>673.70075637333969</v>
      </c>
      <c r="S41" s="1"/>
      <c r="T41" s="1">
        <f>T33+T38*SIN(RADIANS(-'Geometry Calculator'!T41))+T39*COS(RADIANS(-'Geometry Calculator'!T41))</f>
        <v>667.06314801588314</v>
      </c>
      <c r="U41" s="2"/>
      <c r="V41" s="1">
        <f>V33+V38*SIN(RADIANS(-'Geometry Calculator'!V41))+V39*COS(RADIANS(-'Geometry Calculator'!V41))</f>
        <v>659.31647693555317</v>
      </c>
      <c r="W41" s="1"/>
      <c r="X41" s="1">
        <f>X33+X38*SIN(RADIANS(-'Geometry Calculator'!X41))+X39*COS(RADIANS(-'Geometry Calculator'!X41))</f>
        <v>715.56381694264599</v>
      </c>
      <c r="Y41" s="2"/>
      <c r="Z41" s="1">
        <f>Z33+Z38*SIN(RADIANS(-'Geometry Calculator'!Z41))+Z39*COS(RADIANS(-'Geometry Calculator'!Z41))</f>
        <v>707.78570260182062</v>
      </c>
      <c r="AB41" s="159"/>
      <c r="AC41" s="2"/>
      <c r="AD41" s="1"/>
    </row>
    <row r="42" spans="6:30" x14ac:dyDescent="0.25">
      <c r="F42" t="s">
        <v>101</v>
      </c>
      <c r="H42" s="1">
        <f>H56-('Geometry Calculator'!H43/2)*COS(RADIANS(-'Geometry Calculator'!H39))*SIN(RADIANS(90-'Geometry Calculator'!H40))</f>
        <v>315.87751301495621</v>
      </c>
      <c r="I42" s="2"/>
      <c r="J42" s="1">
        <f>J56-('Geometry Calculator'!J43/2)*COS(RADIANS(-'Geometry Calculator'!J39))*SIN(RADIANS(90-'Geometry Calculator'!J40))</f>
        <v>315.87751301495621</v>
      </c>
      <c r="K42" s="1"/>
      <c r="L42" s="1">
        <f>L56-('Geometry Calculator'!L43/2)*COS(RADIANS(-'Geometry Calculator'!L39))*SIN(RADIANS(90-'Geometry Calculator'!L40))</f>
        <v>321.68739540503799</v>
      </c>
      <c r="M42" s="2"/>
      <c r="N42" s="1">
        <f>N56-('Geometry Calculator'!N43/2)*COS(RADIANS(-'Geometry Calculator'!N39))*SIN(RADIANS(90-'Geometry Calculator'!N40))</f>
        <v>321.68739540503799</v>
      </c>
      <c r="O42" s="1"/>
      <c r="P42" s="1">
        <f>P56-('Geometry Calculator'!P43/2)*COS(RADIANS(-'Geometry Calculator'!P39))*SIN(RADIANS(90-'Geometry Calculator'!P40))</f>
        <v>324.18739540503799</v>
      </c>
      <c r="Q42" s="2"/>
      <c r="R42" s="1">
        <f>R56-('Geometry Calculator'!R43/2)*COS(RADIANS(-'Geometry Calculator'!R39))*SIN(RADIANS(90-'Geometry Calculator'!R40))</f>
        <v>324.18739540503799</v>
      </c>
      <c r="S42" s="1"/>
      <c r="T42" s="1">
        <f>T56-('Geometry Calculator'!T43/2)*COS(RADIANS(-'Geometry Calculator'!T39))*SIN(RADIANS(90-'Geometry Calculator'!T40))</f>
        <v>329.07669748605002</v>
      </c>
      <c r="U42" s="2"/>
      <c r="V42" s="1">
        <f>V56-('Geometry Calculator'!V43/2)*COS(RADIANS(-'Geometry Calculator'!V39))*SIN(RADIANS(90-'Geometry Calculator'!V40))</f>
        <v>329.07669748605002</v>
      </c>
      <c r="W42" s="1"/>
      <c r="X42" s="1">
        <f>X56-('Geometry Calculator'!X43/2)*COS(RADIANS(-'Geometry Calculator'!X39))*SIN(RADIANS(90-'Geometry Calculator'!X40))</f>
        <v>321.18739540503799</v>
      </c>
      <c r="Y42" s="2"/>
      <c r="Z42" s="1">
        <f>Z56-('Geometry Calculator'!Z43/2)*COS(RADIANS(-'Geometry Calculator'!Z39))*SIN(RADIANS(90-'Geometry Calculator'!Z40))</f>
        <v>321.18739540503799</v>
      </c>
      <c r="AB42" s="159"/>
      <c r="AC42" s="2"/>
      <c r="AD42" s="1"/>
    </row>
    <row r="43" spans="6:30" x14ac:dyDescent="0.25">
      <c r="F43" t="s">
        <v>52</v>
      </c>
      <c r="H43" s="1">
        <f>H6</f>
        <v>436.48059521586981</v>
      </c>
      <c r="I43" s="2"/>
      <c r="J43" s="1">
        <f>J6</f>
        <v>446.70673786560144</v>
      </c>
      <c r="K43" s="1"/>
      <c r="L43" s="1">
        <f>L6</f>
        <v>424.45141064673118</v>
      </c>
      <c r="M43" s="2"/>
      <c r="N43" s="1">
        <f>N6</f>
        <v>424.45141064673118</v>
      </c>
      <c r="O43" s="1"/>
      <c r="P43" s="1">
        <f>P6</f>
        <v>411.33927602406266</v>
      </c>
      <c r="Q43" s="2"/>
      <c r="R43" s="1">
        <f>R6</f>
        <v>412.36094139732887</v>
      </c>
      <c r="S43" s="1"/>
      <c r="T43" s="1">
        <f>T6</f>
        <v>433.58966777357597</v>
      </c>
      <c r="U43" s="2"/>
      <c r="V43" s="1">
        <f>V6</f>
        <v>433.31307733168836</v>
      </c>
      <c r="W43" s="1"/>
      <c r="X43" s="1">
        <f>X6</f>
        <v>469.85928744678444</v>
      </c>
      <c r="Y43" s="2"/>
      <c r="Z43" s="1">
        <f>Z6</f>
        <v>469.75842335709541</v>
      </c>
      <c r="AB43" s="159"/>
      <c r="AC43" s="2"/>
      <c r="AD43" s="1"/>
    </row>
    <row r="44" spans="6:30" x14ac:dyDescent="0.25">
      <c r="F44" t="s">
        <v>53</v>
      </c>
      <c r="H44" s="1">
        <f>H7-'Geometry Calculator'!H49</f>
        <v>-191.3</v>
      </c>
      <c r="I44" s="2"/>
      <c r="J44" s="1">
        <f>J7-'Geometry Calculator'!J49</f>
        <v>-185.86512684444247</v>
      </c>
      <c r="K44" s="1"/>
      <c r="L44" s="1">
        <f>L7-'Geometry Calculator'!L49</f>
        <v>-225</v>
      </c>
      <c r="M44" s="2"/>
      <c r="N44" s="1">
        <f>N7-'Geometry Calculator'!N49</f>
        <v>-225</v>
      </c>
      <c r="O44" s="1"/>
      <c r="P44" s="1">
        <f>P7-'Geometry Calculator'!P49</f>
        <v>-220</v>
      </c>
      <c r="Q44" s="2"/>
      <c r="R44" s="1">
        <f>R7-'Geometry Calculator'!R49</f>
        <v>-211.72744386234635</v>
      </c>
      <c r="S44" s="1"/>
      <c r="T44" s="1">
        <f>T7-'Geometry Calculator'!T49</f>
        <v>-210</v>
      </c>
      <c r="U44" s="2"/>
      <c r="V44" s="1">
        <f>V7-'Geometry Calculator'!V49</f>
        <v>-213.27240537701059</v>
      </c>
      <c r="W44" s="1"/>
      <c r="X44" s="1">
        <f>X7-'Geometry Calculator'!X49</f>
        <v>-186.5</v>
      </c>
      <c r="Y44" s="2"/>
      <c r="Z44" s="1">
        <f>Z7-'Geometry Calculator'!Z49</f>
        <v>-190.06730516900464</v>
      </c>
      <c r="AB44" s="159"/>
      <c r="AC44" s="2"/>
      <c r="AD44" s="1"/>
    </row>
    <row r="45" spans="6:30" x14ac:dyDescent="0.25">
      <c r="F45" t="s">
        <v>33</v>
      </c>
      <c r="H45" s="1">
        <f>H30+(H41-H31)/TAN(RADIANS(180-'Geometry Calculator'!H14))</f>
        <v>851.87856237865844</v>
      </c>
      <c r="I45" s="2"/>
      <c r="J45" s="1">
        <f>J30+(J41-J31)/TAN(RADIANS(180-'Geometry Calculator'!J14))</f>
        <v>841.33536434219195</v>
      </c>
      <c r="K45" s="1"/>
      <c r="L45" s="1">
        <f>L30+(L41-L31)/TAN(RADIANS(180-'Geometry Calculator'!L14))</f>
        <v>850.41898080505553</v>
      </c>
      <c r="M45" s="2"/>
      <c r="N45" s="1">
        <f>N30+(N41-N31)/TAN(RADIANS(180-'Geometry Calculator'!N14))</f>
        <v>850.41898080505553</v>
      </c>
      <c r="O45" s="1"/>
      <c r="P45" s="1">
        <f>P30+(P41-P31)/TAN(RADIANS(180-'Geometry Calculator'!P14))</f>
        <v>825.5166970377353</v>
      </c>
      <c r="Q45" s="2"/>
      <c r="R45" s="1">
        <f>R30+(R41-R31)/TAN(RADIANS(180-'Geometry Calculator'!R14))</f>
        <v>805.68067190264605</v>
      </c>
      <c r="S45" s="1"/>
      <c r="T45" s="1">
        <f>T30+(T41-T31)/TAN(RADIANS(180-'Geometry Calculator'!T14))</f>
        <v>856.86390886329264</v>
      </c>
      <c r="U45" s="2"/>
      <c r="V45" s="1">
        <f>V30+(V41-V31)/TAN(RADIANS(180-'Geometry Calculator'!V14))</f>
        <v>854.48431932935216</v>
      </c>
      <c r="W45" s="1"/>
      <c r="X45" s="1">
        <f>X30+(X41-X31)/TAN(RADIANS(180-'Geometry Calculator'!X14))</f>
        <v>842.81477624144668</v>
      </c>
      <c r="Y45" s="2"/>
      <c r="Z45" s="1">
        <f>Z30+(Z41-Z31)/TAN(RADIANS(180-'Geometry Calculator'!Z14))</f>
        <v>839.59299209565268</v>
      </c>
      <c r="AB45" s="159"/>
      <c r="AC45" s="2"/>
      <c r="AD45" s="1"/>
    </row>
    <row r="46" spans="6:30" x14ac:dyDescent="0.25">
      <c r="F46" t="s">
        <v>34</v>
      </c>
      <c r="H46" s="1">
        <f>H48-'Geometry Calculator'!H48</f>
        <v>242.43772767656708</v>
      </c>
      <c r="I46" s="2"/>
      <c r="J46" s="1">
        <f>J48-'Geometry Calculator'!J48</f>
        <v>244.17479456147083</v>
      </c>
      <c r="K46" s="1"/>
      <c r="L46" s="1">
        <f>L48-'Geometry Calculator'!L48</f>
        <v>254.46935877946936</v>
      </c>
      <c r="M46" s="2"/>
      <c r="N46" s="1">
        <f>N48-'Geometry Calculator'!N48</f>
        <v>254.46935877946936</v>
      </c>
      <c r="O46" s="1"/>
      <c r="P46" s="1">
        <f>P48-'Geometry Calculator'!P48</f>
        <v>213.40467258018788</v>
      </c>
      <c r="Q46" s="2"/>
      <c r="R46" s="1">
        <f>R48-'Geometry Calculator'!R48</f>
        <v>200.1454113253923</v>
      </c>
      <c r="S46" s="1"/>
      <c r="T46" s="1">
        <f>T48-'Geometry Calculator'!T48</f>
        <v>219.50978527252167</v>
      </c>
      <c r="U46" s="2"/>
      <c r="V46" s="1">
        <f>V48-'Geometry Calculator'!V48</f>
        <v>224.49110630359985</v>
      </c>
      <c r="W46" s="1"/>
      <c r="X46" s="1">
        <f>X48-'Geometry Calculator'!X48</f>
        <v>271.98143947820068</v>
      </c>
      <c r="Y46" s="2"/>
      <c r="Z46" s="1">
        <f>Z48-'Geometry Calculator'!Z48</f>
        <v>277.3398719797878</v>
      </c>
      <c r="AB46" s="159"/>
      <c r="AC46" s="2"/>
      <c r="AD46" s="1"/>
    </row>
    <row r="47" spans="6:30" x14ac:dyDescent="0.25">
      <c r="F47" t="s">
        <v>35</v>
      </c>
      <c r="H47" s="1">
        <f>H49</f>
        <v>677.3480374685787</v>
      </c>
      <c r="I47" s="2"/>
      <c r="J47" s="1">
        <f>J49</f>
        <v>680.61322147201292</v>
      </c>
      <c r="K47" s="1"/>
      <c r="L47" s="1">
        <f>L49</f>
        <v>639.50061342161189</v>
      </c>
      <c r="M47" s="2"/>
      <c r="N47" s="1">
        <f>N49</f>
        <v>639.50061342161189</v>
      </c>
      <c r="O47" s="1"/>
      <c r="P47" s="1">
        <f>P49</f>
        <v>658.03709073197308</v>
      </c>
      <c r="Q47" s="2"/>
      <c r="R47" s="1">
        <f>R49</f>
        <v>662.19044192999775</v>
      </c>
      <c r="S47" s="1"/>
      <c r="T47" s="1">
        <f>T49</f>
        <v>660.68412484284568</v>
      </c>
      <c r="U47" s="2"/>
      <c r="V47" s="1">
        <f>V49</f>
        <v>658.93260309360141</v>
      </c>
      <c r="W47" s="1"/>
      <c r="X47" s="1">
        <f>X49</f>
        <v>706.74045923584822</v>
      </c>
      <c r="Y47" s="2"/>
      <c r="Z47" s="1">
        <f>Z49</f>
        <v>704.65493367446641</v>
      </c>
      <c r="AB47" s="159"/>
      <c r="AC47" s="2"/>
      <c r="AD47" s="1"/>
    </row>
    <row r="48" spans="6:30" x14ac:dyDescent="0.25">
      <c r="F48" t="s">
        <v>75</v>
      </c>
      <c r="H48" s="1">
        <f>IF('Geometry Calculator'!H46=90,H13,(H49-H22)/H21)</f>
        <v>262.43772767656708</v>
      </c>
      <c r="I48" s="2"/>
      <c r="J48" s="1">
        <f>IF('Geometry Calculator'!J46=90,J13,(J49-J22)/J21)</f>
        <v>264.17479456147083</v>
      </c>
      <c r="K48" s="1"/>
      <c r="L48" s="1">
        <f>IF('Geometry Calculator'!L46=90,L13,(L49-L22)/L21)</f>
        <v>254.46935877946936</v>
      </c>
      <c r="M48" s="2"/>
      <c r="N48" s="1">
        <f>IF('Geometry Calculator'!N46=90,N13,(N49-N22)/N21)</f>
        <v>254.46935877946936</v>
      </c>
      <c r="O48" s="1"/>
      <c r="P48" s="1">
        <f>IF('Geometry Calculator'!P46=90,P13,(P49-P22)/P21)</f>
        <v>213.40467258018788</v>
      </c>
      <c r="Q48" s="2"/>
      <c r="R48" s="1">
        <f>IF('Geometry Calculator'!R46=90,R13,(R49-R22)/R21)</f>
        <v>200.1454113253923</v>
      </c>
      <c r="S48" s="1"/>
      <c r="T48" s="1">
        <f>IF('Geometry Calculator'!T46=90,T13,(T49-T22)/T21)</f>
        <v>229.50978527252167</v>
      </c>
      <c r="U48" s="2"/>
      <c r="V48" s="1">
        <f>IF('Geometry Calculator'!V46=90,V13,(V49-V22)/V21)</f>
        <v>234.49110630359985</v>
      </c>
      <c r="W48" s="1"/>
      <c r="X48" s="1">
        <f>IF('Geometry Calculator'!X46=90,X13,(X49-X22)/X21)</f>
        <v>271.98143947820068</v>
      </c>
      <c r="Y48" s="2"/>
      <c r="Z48" s="1">
        <f>IF('Geometry Calculator'!Z46=90,Z13,(Z49-Z22)/Z21)</f>
        <v>277.3398719797878</v>
      </c>
      <c r="AB48" s="159"/>
      <c r="AC48" s="2"/>
      <c r="AD48" s="1"/>
    </row>
    <row r="49" spans="6:30" x14ac:dyDescent="0.25">
      <c r="F49" t="s">
        <v>76</v>
      </c>
      <c r="H49" s="1">
        <f>IF(((-(-2*H21^2*H7-2*H6*H21-2*H22)+SQRT((-2*H21^2*H7-2*H6*H21-2*H22)^2-4*(H21^2+1)*(H21^2*H7^2+H21^2*H6^2+2*H6*H22*H21+H22^2-H21^2*'Geometry Calculator'!H47^2)))/(2*(H21^2+1)))&gt;0,(-(-2*H21^2*H7-2*H6*H21-2*H22)+SQRT((-2*H21^2*H7-2*H6*H21-2*H22)^2-4*(H21^2+1)*(H21^2*H7^2+H21^2*H6^2+2*H6*H22*H21+H22^2-H21^2*'Geometry Calculator'!H47^2)))/(2*(H21^2+1)),(-(-2*H21^2*H7-2*H6*H21-2*H22)-SQRT((-2*H21^2*H7-2*H6*H21-2*H22)^2-4*(H21^2+1)*(H21^2*H7^2+H21^2*H6^2+2*H6*H22*H21+H22^2-H21^2*'Geometry Calculator'!H47^2)))/(2*(H21^2+1)))</f>
        <v>677.3480374685787</v>
      </c>
      <c r="I49" s="2"/>
      <c r="J49" s="1">
        <f>IF(((-(-2*J21^2*J7-2*J6*J21-2*J22)+SQRT((-2*J21^2*J7-2*J6*J21-2*J22)^2-4*(J21^2+1)*(J21^2*J7^2+J21^2*J6^2+2*J6*J22*J21+J22^2-J21^2*'Geometry Calculator'!J47^2)))/(2*(J21^2+1)))&gt;0,(-(-2*J21^2*J7-2*J6*J21-2*J22)+SQRT((-2*J21^2*J7-2*J6*J21-2*J22)^2-4*(J21^2+1)*(J21^2*J7^2+J21^2*J6^2+2*J6*J22*J21+J22^2-J21^2*'Geometry Calculator'!J47^2)))/(2*(J21^2+1)),(-(-2*J21^2*J7-2*J6*J21-2*J22)-SQRT((-2*J21^2*J7-2*J6*J21-2*J22)^2-4*(J21^2+1)*(J21^2*J7^2+J21^2*J6^2+2*J6*J22*J21+J22^2-J21^2*'Geometry Calculator'!J47^2)))/(2*(J21^2+1)))</f>
        <v>680.61322147201292</v>
      </c>
      <c r="K49" s="1"/>
      <c r="L49" s="1">
        <f>IF(((-(-2*L21^2*L7-2*L6*L21-2*L22)+SQRT((-2*L21^2*L7-2*L6*L21-2*L22)^2-4*(L21^2+1)*(L21^2*L7^2+L21^2*L6^2+2*L6*L22*L21+L22^2-L21^2*'Geometry Calculator'!L47^2)))/(2*(L21^2+1)))&gt;0,(-(-2*L21^2*L7-2*L6*L21-2*L22)+SQRT((-2*L21^2*L7-2*L6*L21-2*L22)^2-4*(L21^2+1)*(L21^2*L7^2+L21^2*L6^2+2*L6*L22*L21+L22^2-L21^2*'Geometry Calculator'!L47^2)))/(2*(L21^2+1)),(-(-2*L21^2*L7-2*L6*L21-2*L22)-SQRT((-2*L21^2*L7-2*L6*L21-2*L22)^2-4*(L21^2+1)*(L21^2*L7^2+L21^2*L6^2+2*L6*L22*L21+L22^2-L21^2*'Geometry Calculator'!L47^2)))/(2*(L21^2+1)))</f>
        <v>639.50061342161189</v>
      </c>
      <c r="M49" s="2"/>
      <c r="N49" s="1">
        <f>IF(((-(-2*N21^2*N7-2*N6*N21-2*N22)+SQRT((-2*N21^2*N7-2*N6*N21-2*N22)^2-4*(N21^2+1)*(N21^2*N7^2+N21^2*N6^2+2*N6*N22*N21+N22^2-N21^2*'Geometry Calculator'!N47^2)))/(2*(N21^2+1)))&gt;0,(-(-2*N21^2*N7-2*N6*N21-2*N22)+SQRT((-2*N21^2*N7-2*N6*N21-2*N22)^2-4*(N21^2+1)*(N21^2*N7^2+N21^2*N6^2+2*N6*N22*N21+N22^2-N21^2*'Geometry Calculator'!N47^2)))/(2*(N21^2+1)),(-(-2*N21^2*N7-2*N6*N21-2*N22)-SQRT((-2*N21^2*N7-2*N6*N21-2*N22)^2-4*(N21^2+1)*(N21^2*N7^2+N21^2*N6^2+2*N6*N22*N21+N22^2-N21^2*'Geometry Calculator'!N47^2)))/(2*(N21^2+1)))</f>
        <v>639.50061342161189</v>
      </c>
      <c r="O49" s="1"/>
      <c r="P49" s="1">
        <f>IF(((-(-2*P21^2*P7-2*P6*P21-2*P22)+SQRT((-2*P21^2*P7-2*P6*P21-2*P22)^2-4*(P21^2+1)*(P21^2*P7^2+P21^2*P6^2+2*P6*P22*P21+P22^2-P21^2*'Geometry Calculator'!P47^2)))/(2*(P21^2+1)))&gt;0,(-(-2*P21^2*P7-2*P6*P21-2*P22)+SQRT((-2*P21^2*P7-2*P6*P21-2*P22)^2-4*(P21^2+1)*(P21^2*P7^2+P21^2*P6^2+2*P6*P22*P21+P22^2-P21^2*'Geometry Calculator'!P47^2)))/(2*(P21^2+1)),(-(-2*P21^2*P7-2*P6*P21-2*P22)-SQRT((-2*P21^2*P7-2*P6*P21-2*P22)^2-4*(P21^2+1)*(P21^2*P7^2+P21^2*P6^2+2*P6*P22*P21+P22^2-P21^2*'Geometry Calculator'!P47^2)))/(2*(P21^2+1)))</f>
        <v>658.03709073197308</v>
      </c>
      <c r="Q49" s="2"/>
      <c r="R49" s="1">
        <f>IF(((-(-2*R21^2*R7-2*R6*R21-2*R22)+SQRT((-2*R21^2*R7-2*R6*R21-2*R22)^2-4*(R21^2+1)*(R21^2*R7^2+R21^2*R6^2+2*R6*R22*R21+R22^2-R21^2*'Geometry Calculator'!R47^2)))/(2*(R21^2+1)))&gt;0,(-(-2*R21^2*R7-2*R6*R21-2*R22)+SQRT((-2*R21^2*R7-2*R6*R21-2*R22)^2-4*(R21^2+1)*(R21^2*R7^2+R21^2*R6^2+2*R6*R22*R21+R22^2-R21^2*'Geometry Calculator'!R47^2)))/(2*(R21^2+1)),(-(-2*R21^2*R7-2*R6*R21-2*R22)-SQRT((-2*R21^2*R7-2*R6*R21-2*R22)^2-4*(R21^2+1)*(R21^2*R7^2+R21^2*R6^2+2*R6*R22*R21+R22^2-R21^2*'Geometry Calculator'!R47^2)))/(2*(R21^2+1)))</f>
        <v>662.19044192999775</v>
      </c>
      <c r="S49" s="1"/>
      <c r="T49" s="1">
        <f>IF(((-(-2*T21^2*T7-2*T6*T21-2*T22)+SQRT((-2*T21^2*T7-2*T6*T21-2*T22)^2-4*(T21^2+1)*(T21^2*T7^2+T21^2*T6^2+2*T6*T22*T21+T22^2-T21^2*'Geometry Calculator'!T47^2)))/(2*(T21^2+1)))&gt;0,(-(-2*T21^2*T7-2*T6*T21-2*T22)+SQRT((-2*T21^2*T7-2*T6*T21-2*T22)^2-4*(T21^2+1)*(T21^2*T7^2+T21^2*T6^2+2*T6*T22*T21+T22^2-T21^2*'Geometry Calculator'!T47^2)))/(2*(T21^2+1)),(-(-2*T21^2*T7-2*T6*T21-2*T22)-SQRT((-2*T21^2*T7-2*T6*T21-2*T22)^2-4*(T21^2+1)*(T21^2*T7^2+T21^2*T6^2+2*T6*T22*T21+T22^2-T21^2*'Geometry Calculator'!T47^2)))/(2*(T21^2+1)))</f>
        <v>660.68412484284568</v>
      </c>
      <c r="U49" s="2"/>
      <c r="V49" s="1">
        <f>IF(((-(-2*V21^2*V7-2*V6*V21-2*V22)+SQRT((-2*V21^2*V7-2*V6*V21-2*V22)^2-4*(V21^2+1)*(V21^2*V7^2+V21^2*V6^2+2*V6*V22*V21+V22^2-V21^2*'Geometry Calculator'!V47^2)))/(2*(V21^2+1)))&gt;0,(-(-2*V21^2*V7-2*V6*V21-2*V22)+SQRT((-2*V21^2*V7-2*V6*V21-2*V22)^2-4*(V21^2+1)*(V21^2*V7^2+V21^2*V6^2+2*V6*V22*V21+V22^2-V21^2*'Geometry Calculator'!V47^2)))/(2*(V21^2+1)),(-(-2*V21^2*V7-2*V6*V21-2*V22)-SQRT((-2*V21^2*V7-2*V6*V21-2*V22)^2-4*(V21^2+1)*(V21^2*V7^2+V21^2*V6^2+2*V6*V22*V21+V22^2-V21^2*'Geometry Calculator'!V47^2)))/(2*(V21^2+1)))</f>
        <v>658.93260309360141</v>
      </c>
      <c r="W49" s="1"/>
      <c r="X49" s="1">
        <f>IF(((-(-2*X21^2*X7-2*X6*X21-2*X22)+SQRT((-2*X21^2*X7-2*X6*X21-2*X22)^2-4*(X21^2+1)*(X21^2*X7^2+X21^2*X6^2+2*X6*X22*X21+X22^2-X21^2*'Geometry Calculator'!X47^2)))/(2*(X21^2+1)))&gt;0,(-(-2*X21^2*X7-2*X6*X21-2*X22)+SQRT((-2*X21^2*X7-2*X6*X21-2*X22)^2-4*(X21^2+1)*(X21^2*X7^2+X21^2*X6^2+2*X6*X22*X21+X22^2-X21^2*'Geometry Calculator'!X47^2)))/(2*(X21^2+1)),(-(-2*X21^2*X7-2*X6*X21-2*X22)-SQRT((-2*X21^2*X7-2*X6*X21-2*X22)^2-4*(X21^2+1)*(X21^2*X7^2+X21^2*X6^2+2*X6*X22*X21+X22^2-X21^2*'Geometry Calculator'!X47^2)))/(2*(X21^2+1)))</f>
        <v>706.74045923584822</v>
      </c>
      <c r="Y49" s="2"/>
      <c r="Z49" s="1">
        <f>IF(((-(-2*Z21^2*Z7-2*Z6*Z21-2*Z22)+SQRT((-2*Z21^2*Z7-2*Z6*Z21-2*Z22)^2-4*(Z21^2+1)*(Z21^2*Z7^2+Z21^2*Z6^2+2*Z6*Z22*Z21+Z22^2-Z21^2*'Geometry Calculator'!Z47^2)))/(2*(Z21^2+1)))&gt;0,(-(-2*Z21^2*Z7-2*Z6*Z21-2*Z22)+SQRT((-2*Z21^2*Z7-2*Z6*Z21-2*Z22)^2-4*(Z21^2+1)*(Z21^2*Z7^2+Z21^2*Z6^2+2*Z6*Z22*Z21+Z22^2-Z21^2*'Geometry Calculator'!Z47^2)))/(2*(Z21^2+1)),(-(-2*Z21^2*Z7-2*Z6*Z21-2*Z22)-SQRT((-2*Z21^2*Z7-2*Z6*Z21-2*Z22)^2-4*(Z21^2+1)*(Z21^2*Z7^2+Z21^2*Z6^2+2*Z6*Z22*Z21+Z22^2-Z21^2*'Geometry Calculator'!Z47^2)))/(2*(Z21^2+1)))</f>
        <v>704.65493367446641</v>
      </c>
      <c r="AB49" s="159"/>
      <c r="AC49" s="2"/>
      <c r="AD49" s="1"/>
    </row>
    <row r="50" spans="6:30" x14ac:dyDescent="0.25">
      <c r="F50" t="s">
        <v>333</v>
      </c>
      <c r="H50" s="1">
        <f>IF('Geometry Calculator'!H46=90,H13,(H51-H22)/H21)</f>
        <v>287.10812541501127</v>
      </c>
      <c r="I50" s="2"/>
      <c r="J50" s="1">
        <f>IF('Geometry Calculator'!J46=90,J13,(J51-J22)/J21)</f>
        <v>287.744569553041</v>
      </c>
      <c r="K50" s="1"/>
      <c r="L50" s="1">
        <f>IF('Geometry Calculator'!L46=90,L13,(L51-L22)/L21)</f>
        <v>269.86104109165922</v>
      </c>
      <c r="M50" s="2"/>
      <c r="N50" s="1">
        <f>IF('Geometry Calculator'!N46=90,N13,(N51-N22)/N21)</f>
        <v>269.86104109165922</v>
      </c>
      <c r="O50" s="1"/>
      <c r="P50" s="1">
        <f>IF('Geometry Calculator'!P46=90,P13,(P51-P22)/P21)</f>
        <v>244.40692913947322</v>
      </c>
      <c r="Q50" s="2"/>
      <c r="R50" s="1">
        <f>IF('Geometry Calculator'!R46=90,R13,(R51-R22)/R21)</f>
        <v>228.85628203047517</v>
      </c>
      <c r="S50" s="1"/>
      <c r="T50" s="1">
        <f>IF('Geometry Calculator'!T46=90,T13,(T51-T22)/T21)</f>
        <v>263.58972226489493</v>
      </c>
      <c r="U50" s="2"/>
      <c r="V50" s="1">
        <f>IF('Geometry Calculator'!V46=90,V13,(V51-V22)/V21)</f>
        <v>270.47751875913934</v>
      </c>
      <c r="W50" s="1"/>
      <c r="X50" s="1">
        <f>IF('Geometry Calculator'!X46=90,X13,(X51-X22)/X21)</f>
        <v>302.926940562195</v>
      </c>
      <c r="Y50" s="2"/>
      <c r="Z50" s="1">
        <f>IF('Geometry Calculator'!Z46=90,Z13,(Z51-Z22)/Z21)</f>
        <v>309.48819665889363</v>
      </c>
      <c r="AB50" s="159"/>
      <c r="AC50" s="2"/>
      <c r="AD50" s="1"/>
    </row>
    <row r="51" spans="6:30" x14ac:dyDescent="0.25">
      <c r="F51" t="s">
        <v>334</v>
      </c>
      <c r="H51" s="1">
        <f>H11</f>
        <v>605.70000000000005</v>
      </c>
      <c r="I51" s="2"/>
      <c r="J51" s="1">
        <f>J11</f>
        <v>614.77546864700753</v>
      </c>
      <c r="K51" s="1"/>
      <c r="L51" s="1">
        <f>L11</f>
        <v>584</v>
      </c>
      <c r="M51" s="2"/>
      <c r="N51" s="1">
        <f>N11</f>
        <v>584</v>
      </c>
      <c r="O51" s="1"/>
      <c r="P51" s="1">
        <f>P11</f>
        <v>568</v>
      </c>
      <c r="Q51" s="2"/>
      <c r="R51" s="1">
        <f>R11</f>
        <v>583.94941815298398</v>
      </c>
      <c r="S51" s="1"/>
      <c r="T51" s="1">
        <f>T11</f>
        <v>578</v>
      </c>
      <c r="U51" s="2"/>
      <c r="V51" s="1">
        <f>V11</f>
        <v>569.71716712043815</v>
      </c>
      <c r="W51" s="1"/>
      <c r="X51" s="1">
        <f>X11</f>
        <v>611.5</v>
      </c>
      <c r="Y51" s="2"/>
      <c r="Z51" s="1">
        <f>Z11</f>
        <v>603.09505221608777</v>
      </c>
      <c r="AB51" s="159"/>
      <c r="AC51" s="2"/>
      <c r="AD51" s="1"/>
    </row>
    <row r="52" spans="6:30" x14ac:dyDescent="0.25">
      <c r="F52" t="s">
        <v>97</v>
      </c>
      <c r="H52" s="1">
        <f>'Geometry Calculator'!H42*SIN(RADIANS(-'Geometry Calculator'!H39))*SIN(RADIANS(90-'Geometry Calculator'!H40))</f>
        <v>-38.820181482153231</v>
      </c>
      <c r="I52" s="2"/>
      <c r="J52" s="1">
        <f>'Geometry Calculator'!J42*SIN(RADIANS(-'Geometry Calculator'!J39))*SIN(RADIANS(90-'Geometry Calculator'!J40))</f>
        <v>-38.820181482153231</v>
      </c>
      <c r="K52" s="1"/>
      <c r="L52" s="1">
        <f>'Geometry Calculator'!L42*SIN(RADIANS(-'Geometry Calculator'!L39))*SIN(RADIANS(90-'Geometry Calculator'!L40))</f>
        <v>-37.338600161455751</v>
      </c>
      <c r="M52" s="2"/>
      <c r="N52" s="1">
        <f>'Geometry Calculator'!N42*SIN(RADIANS(-'Geometry Calculator'!N39))*SIN(RADIANS(90-'Geometry Calculator'!N40))</f>
        <v>-37.338600161455751</v>
      </c>
      <c r="O52" s="1"/>
      <c r="P52" s="1">
        <f>'Geometry Calculator'!P42*SIN(RADIANS(-'Geometry Calculator'!P39))*SIN(RADIANS(90-'Geometry Calculator'!P40))</f>
        <v>-37.338600161455751</v>
      </c>
      <c r="Q52" s="2"/>
      <c r="R52" s="1">
        <f>'Geometry Calculator'!R42*SIN(RADIANS(-'Geometry Calculator'!R39))*SIN(RADIANS(90-'Geometry Calculator'!R40))</f>
        <v>-37.338600161455751</v>
      </c>
      <c r="S52" s="1"/>
      <c r="T52" s="1">
        <f>'Geometry Calculator'!T42*SIN(RADIANS(-'Geometry Calculator'!T39))*SIN(RADIANS(90-'Geometry Calculator'!T40))</f>
        <v>-38.180600244614645</v>
      </c>
      <c r="U52" s="2"/>
      <c r="V52" s="1">
        <f>'Geometry Calculator'!V42*SIN(RADIANS(-'Geometry Calculator'!V39))*SIN(RADIANS(90-'Geometry Calculator'!V40))</f>
        <v>-38.180600244614645</v>
      </c>
      <c r="W52" s="1"/>
      <c r="X52" s="1">
        <f>'Geometry Calculator'!X42*SIN(RADIANS(-'Geometry Calculator'!X39))*SIN(RADIANS(90-'Geometry Calculator'!X40))</f>
        <v>-37.338600161455751</v>
      </c>
      <c r="Y52" s="2"/>
      <c r="Z52" s="1">
        <f>'Geometry Calculator'!Z42*SIN(RADIANS(-'Geometry Calculator'!Z39))*SIN(RADIANS(90-'Geometry Calculator'!Z40))</f>
        <v>-37.338600161455751</v>
      </c>
      <c r="AB52" s="159"/>
      <c r="AC52" s="2"/>
      <c r="AD52" s="1"/>
    </row>
    <row r="53" spans="6:30" x14ac:dyDescent="0.25">
      <c r="F53" t="s">
        <v>98</v>
      </c>
      <c r="H53" s="1">
        <f>'Geometry Calculator'!H38+'Geometry Calculator'!H42*COS(RADIANS(90-'Geometry Calculator'!H40))</f>
        <v>44.403607969344279</v>
      </c>
      <c r="I53" s="2"/>
      <c r="J53" s="1">
        <f>'Geometry Calculator'!J38+'Geometry Calculator'!J42*COS(RADIANS(90-'Geometry Calculator'!J40))</f>
        <v>44.403607969344279</v>
      </c>
      <c r="K53" s="1"/>
      <c r="L53" s="1">
        <f>'Geometry Calculator'!L38+'Geometry Calculator'!L42*COS(RADIANS(90-'Geometry Calculator'!L40))</f>
        <v>50.086831184236829</v>
      </c>
      <c r="M53" s="2"/>
      <c r="N53" s="1">
        <f>'Geometry Calculator'!N38+'Geometry Calculator'!N42*COS(RADIANS(90-'Geometry Calculator'!N40))</f>
        <v>50.086831184236829</v>
      </c>
      <c r="O53" s="1"/>
      <c r="P53" s="1">
        <f>'Geometry Calculator'!P38+'Geometry Calculator'!P42*COS(RADIANS(90-'Geometry Calculator'!P40))</f>
        <v>37.086831184236829</v>
      </c>
      <c r="Q53" s="2"/>
      <c r="R53" s="1">
        <f>'Geometry Calculator'!R38+'Geometry Calculator'!R42*COS(RADIANS(90-'Geometry Calculator'!R40))</f>
        <v>37.086831184236829</v>
      </c>
      <c r="S53" s="1"/>
      <c r="T53" s="1">
        <f>'Geometry Calculator'!T38+'Geometry Calculator'!T42*COS(RADIANS(90-'Geometry Calculator'!T40))</f>
        <v>41.35315697317624</v>
      </c>
      <c r="U53" s="2"/>
      <c r="V53" s="1">
        <f>'Geometry Calculator'!V38+'Geometry Calculator'!V42*COS(RADIANS(90-'Geometry Calculator'!V40))</f>
        <v>41.35315697317624</v>
      </c>
      <c r="W53" s="1"/>
      <c r="X53" s="1">
        <f>'Geometry Calculator'!X38+'Geometry Calculator'!X42*COS(RADIANS(90-'Geometry Calculator'!X40))</f>
        <v>37.086831184236829</v>
      </c>
      <c r="Y53" s="2"/>
      <c r="Z53" s="1">
        <f>'Geometry Calculator'!Z38+'Geometry Calculator'!Z42*COS(RADIANS(90-'Geometry Calculator'!Z40))</f>
        <v>37.086831184236829</v>
      </c>
      <c r="AB53" s="159"/>
      <c r="AC53" s="2"/>
      <c r="AD53" s="1"/>
    </row>
    <row r="54" spans="6:30" x14ac:dyDescent="0.25">
      <c r="F54" t="s">
        <v>99</v>
      </c>
      <c r="H54" s="1">
        <f>H32+H52*COS(RADIANS(-'Geometry Calculator'!H41))-H53*SIN(RADIANS(-'Geometry Calculator'!H41))</f>
        <v>861.37364742895954</v>
      </c>
      <c r="I54" s="2"/>
      <c r="J54" s="1">
        <f>J32+J52*COS(RADIANS(-'Geometry Calculator'!J41))-J53*SIN(RADIANS(-'Geometry Calculator'!J41))</f>
        <v>851.80426670723011</v>
      </c>
      <c r="K54" s="1"/>
      <c r="L54" s="1">
        <f>L32+L52*COS(RADIANS(-'Geometry Calculator'!L41))-L53*SIN(RADIANS(-'Geometry Calculator'!L41))</f>
        <v>877.30562802059478</v>
      </c>
      <c r="M54" s="2"/>
      <c r="N54" s="1">
        <f>N32+N52*COS(RADIANS(-'Geometry Calculator'!N41))-N53*SIN(RADIANS(-'Geometry Calculator'!N41))</f>
        <v>877.30562802059478</v>
      </c>
      <c r="O54" s="1"/>
      <c r="P54" s="1">
        <f>P32+P52*COS(RADIANS(-'Geometry Calculator'!P41))-P53*SIN(RADIANS(-'Geometry Calculator'!P41))</f>
        <v>848.86665261439634</v>
      </c>
      <c r="Q54" s="2"/>
      <c r="R54" s="1">
        <f>R32+R52*COS(RADIANS(-'Geometry Calculator'!R41))-R53*SIN(RADIANS(-'Geometry Calculator'!R41))</f>
        <v>831.65985244718456</v>
      </c>
      <c r="S54" s="1"/>
      <c r="T54" s="1">
        <f>T32+T52*COS(RADIANS(-'Geometry Calculator'!T41))-T53*SIN(RADIANS(-'Geometry Calculator'!T41))</f>
        <v>877.74275867843119</v>
      </c>
      <c r="U54" s="2"/>
      <c r="V54" s="1">
        <f>V32+V52*COS(RADIANS(-'Geometry Calculator'!V41))-V53*SIN(RADIANS(-'Geometry Calculator'!V41))</f>
        <v>877.07434250162646</v>
      </c>
      <c r="W54" s="1"/>
      <c r="X54" s="1">
        <f>X32+X52*COS(RADIANS(-'Geometry Calculator'!X41))-X53*SIN(RADIANS(-'Geometry Calculator'!X41))</f>
        <v>871.48350081245428</v>
      </c>
      <c r="Y54" s="2"/>
      <c r="Z54" s="1">
        <f>Z32+Z52*COS(RADIANS(-'Geometry Calculator'!Z41))-Z53*SIN(RADIANS(-'Geometry Calculator'!Z41))</f>
        <v>869.84982628000489</v>
      </c>
      <c r="AB54" s="159"/>
      <c r="AC54" s="2"/>
      <c r="AD54" s="1"/>
    </row>
    <row r="55" spans="6:30" x14ac:dyDescent="0.25">
      <c r="F55" t="s">
        <v>100</v>
      </c>
      <c r="H55" s="1">
        <f>H33+H52*SIN(RADIANS(-'Geometry Calculator'!H41))+H53*COS(RADIANS(-'Geometry Calculator'!H41))</f>
        <v>691.86704466241349</v>
      </c>
      <c r="I55" s="2"/>
      <c r="J55" s="1">
        <f>J33+J52*SIN(RADIANS(-'Geometry Calculator'!J41))+J53*COS(RADIANS(-'Geometry Calculator'!J41))</f>
        <v>708.85557450255396</v>
      </c>
      <c r="K55" s="1"/>
      <c r="L55" s="1">
        <f>L33+L52*SIN(RADIANS(-'Geometry Calculator'!L41))+L53*COS(RADIANS(-'Geometry Calculator'!L41))</f>
        <v>685.43125756125755</v>
      </c>
      <c r="M55" s="2"/>
      <c r="N55" s="1">
        <f>N33+N52*SIN(RADIANS(-'Geometry Calculator'!N41))+N53*COS(RADIANS(-'Geometry Calculator'!N41))</f>
        <v>685.43125756125755</v>
      </c>
      <c r="O55" s="1"/>
      <c r="P55" s="1">
        <f>P33+P52*SIN(RADIANS(-'Geometry Calculator'!P41))+P53*COS(RADIANS(-'Geometry Calculator'!P41))</f>
        <v>663.66740134345844</v>
      </c>
      <c r="Q55" s="2"/>
      <c r="R55" s="1">
        <f>R33+R52*SIN(RADIANS(-'Geometry Calculator'!R41))+R53*COS(RADIANS(-'Geometry Calculator'!R41))</f>
        <v>680.70416341227246</v>
      </c>
      <c r="S55" s="1"/>
      <c r="T55" s="1">
        <f>T33+T52*SIN(RADIANS(-'Geometry Calculator'!T41))+T53*COS(RADIANS(-'Geometry Calculator'!T41))</f>
        <v>672.90258277997623</v>
      </c>
      <c r="U55" s="2"/>
      <c r="V55" s="1">
        <f>V33+V52*SIN(RADIANS(-'Geometry Calculator'!V41))+V53*COS(RADIANS(-'Geometry Calculator'!V41))</f>
        <v>665.15591169964625</v>
      </c>
      <c r="W55" s="1"/>
      <c r="X55" s="1">
        <f>X33+X52*SIN(RADIANS(-'Geometry Calculator'!X41))+X53*COS(RADIANS(-'Geometry Calculator'!X41))</f>
        <v>722.56722398157876</v>
      </c>
      <c r="Y55" s="2"/>
      <c r="Z55" s="1">
        <f>Z33+Z52*SIN(RADIANS(-'Geometry Calculator'!Z41))+Z53*COS(RADIANS(-'Geometry Calculator'!Z41))</f>
        <v>714.7891096407534</v>
      </c>
      <c r="AB55" s="159"/>
      <c r="AC55" s="2"/>
      <c r="AD55" s="1"/>
    </row>
    <row r="56" spans="6:30" x14ac:dyDescent="0.25">
      <c r="F56" t="s">
        <v>321</v>
      </c>
      <c r="H56" s="1">
        <f>'Geometry Calculator'!H45/2</f>
        <v>380</v>
      </c>
      <c r="I56" s="2"/>
      <c r="J56" s="1">
        <f>'Geometry Calculator'!J45/2</f>
        <v>380</v>
      </c>
      <c r="K56" s="1"/>
      <c r="L56" s="1">
        <f>'Geometry Calculator'!L45/2</f>
        <v>387.5</v>
      </c>
      <c r="M56" s="2"/>
      <c r="N56" s="1">
        <f>'Geometry Calculator'!N45/2</f>
        <v>387.5</v>
      </c>
      <c r="O56" s="1"/>
      <c r="P56" s="1">
        <f>'Geometry Calculator'!P45/2</f>
        <v>390</v>
      </c>
      <c r="Q56" s="2"/>
      <c r="R56" s="1">
        <f>'Geometry Calculator'!R45/2</f>
        <v>390</v>
      </c>
      <c r="S56" s="1"/>
      <c r="T56" s="1">
        <f>'Geometry Calculator'!T45/2</f>
        <v>395</v>
      </c>
      <c r="U56" s="2"/>
      <c r="V56" s="1">
        <f>'Geometry Calculator'!V45/2</f>
        <v>395</v>
      </c>
      <c r="W56" s="1"/>
      <c r="X56" s="1">
        <f>'Geometry Calculator'!X45/2</f>
        <v>387</v>
      </c>
      <c r="Y56" s="2"/>
      <c r="Z56" s="1">
        <f>'Geometry Calculator'!Z45/2</f>
        <v>387</v>
      </c>
      <c r="AB56" s="159"/>
      <c r="AC56" s="2"/>
      <c r="AD56" s="1"/>
    </row>
    <row r="57" spans="6:30" x14ac:dyDescent="0.25">
      <c r="F57" t="s">
        <v>322</v>
      </c>
      <c r="H57" s="1">
        <f>-H56</f>
        <v>-380</v>
      </c>
      <c r="I57" s="2"/>
      <c r="J57" s="1">
        <f t="shared" ref="J57" si="11">-J56</f>
        <v>-380</v>
      </c>
      <c r="K57" s="1"/>
      <c r="L57" s="1">
        <f>-L56</f>
        <v>-387.5</v>
      </c>
      <c r="M57" s="2"/>
      <c r="N57" s="1">
        <f t="shared" ref="N57" si="12">-N56</f>
        <v>-387.5</v>
      </c>
      <c r="O57" s="1"/>
      <c r="P57" s="1">
        <f>-P56</f>
        <v>-390</v>
      </c>
      <c r="Q57" s="2"/>
      <c r="R57" s="1">
        <f t="shared" ref="R57" si="13">-R56</f>
        <v>-390</v>
      </c>
      <c r="S57" s="1"/>
      <c r="T57" s="1">
        <f>-T56</f>
        <v>-395</v>
      </c>
      <c r="U57" s="2"/>
      <c r="V57" s="1">
        <f t="shared" ref="V57" si="14">-V56</f>
        <v>-395</v>
      </c>
      <c r="W57" s="1"/>
      <c r="X57" s="1">
        <f>-X56</f>
        <v>-387</v>
      </c>
      <c r="Y57" s="2"/>
      <c r="Z57" s="1">
        <f t="shared" ref="Z57" si="15">-Z56</f>
        <v>-387</v>
      </c>
      <c r="AB57" s="159"/>
      <c r="AC57" s="2"/>
      <c r="AD57" s="1"/>
    </row>
    <row r="58" spans="6:30" x14ac:dyDescent="0.25">
      <c r="F58" t="s">
        <v>102</v>
      </c>
      <c r="H58" s="1">
        <f>('Geometry Calculator'!H42-'Geometry Calculator'!H43)*SIN(RADIANS(-'Geometry Calculator'!H39))*SIN(RADIANS(90-'Geometry Calculator'!H40))</f>
        <v>-20.796525794010659</v>
      </c>
      <c r="I58" s="2"/>
      <c r="J58" s="1">
        <f>('Geometry Calculator'!J42-'Geometry Calculator'!J43)*SIN(RADIANS(-'Geometry Calculator'!J39))*SIN(RADIANS(90-'Geometry Calculator'!J40))</f>
        <v>-20.796525794010659</v>
      </c>
      <c r="K58" s="1"/>
      <c r="L58" s="1">
        <f>('Geometry Calculator'!L42-'Geometry Calculator'!L43)*SIN(RADIANS(-'Geometry Calculator'!L39))*SIN(RADIANS(90-'Geometry Calculator'!L40))</f>
        <v>-16.491215071309622</v>
      </c>
      <c r="M58" s="2"/>
      <c r="N58" s="1">
        <f>('Geometry Calculator'!N42-'Geometry Calculator'!N43)*SIN(RADIANS(-'Geometry Calculator'!N39))*SIN(RADIANS(90-'Geometry Calculator'!N40))</f>
        <v>-16.491215071309622</v>
      </c>
      <c r="O58" s="1"/>
      <c r="P58" s="1">
        <f>('Geometry Calculator'!P42-'Geometry Calculator'!P43)*SIN(RADIANS(-'Geometry Calculator'!P39))*SIN(RADIANS(90-'Geometry Calculator'!P40))</f>
        <v>-16.491215071309622</v>
      </c>
      <c r="Q58" s="2"/>
      <c r="R58" s="1">
        <f>('Geometry Calculator'!R42-'Geometry Calculator'!R43)*SIN(RADIANS(-'Geometry Calculator'!R39))*SIN(RADIANS(90-'Geometry Calculator'!R40))</f>
        <v>-16.491215071309622</v>
      </c>
      <c r="S58" s="1"/>
      <c r="T58" s="1">
        <f>('Geometry Calculator'!T42-'Geometry Calculator'!T43)*SIN(RADIANS(-'Geometry Calculator'!T39))*SIN(RADIANS(90-'Geometry Calculator'!T40))</f>
        <v>-17.298149498580511</v>
      </c>
      <c r="U58" s="2"/>
      <c r="V58" s="1">
        <f>('Geometry Calculator'!V42-'Geometry Calculator'!V43)*SIN(RADIANS(-'Geometry Calculator'!V39))*SIN(RADIANS(90-'Geometry Calculator'!V40))</f>
        <v>-17.298149498580511</v>
      </c>
      <c r="W58" s="1"/>
      <c r="X58" s="1">
        <f>('Geometry Calculator'!X42-'Geometry Calculator'!X43)*SIN(RADIANS(-'Geometry Calculator'!X39))*SIN(RADIANS(90-'Geometry Calculator'!X40))</f>
        <v>-16.491215071309622</v>
      </c>
      <c r="Y58" s="2"/>
      <c r="Z58" s="1">
        <f>('Geometry Calculator'!Z42-'Geometry Calculator'!Z43)*SIN(RADIANS(-'Geometry Calculator'!Z39))*SIN(RADIANS(90-'Geometry Calculator'!Z40))</f>
        <v>-16.491215071309622</v>
      </c>
      <c r="AB58" s="159"/>
      <c r="AC58" s="2"/>
      <c r="AD58" s="1"/>
    </row>
    <row r="59" spans="6:30" x14ac:dyDescent="0.25">
      <c r="F59" t="s">
        <v>103</v>
      </c>
      <c r="H59" s="1">
        <f>'Geometry Calculator'!H38+('Geometry Calculator'!H42-'Geometry Calculator'!H43)*COS(RADIANS(90-'Geometry Calculator'!H40))</f>
        <v>33.073361412148721</v>
      </c>
      <c r="I59" s="2"/>
      <c r="J59" s="1">
        <f>'Geometry Calculator'!J38+('Geometry Calculator'!J42-'Geometry Calculator'!J43)*COS(RADIANS(90-'Geometry Calculator'!J40))</f>
        <v>33.073361412148721</v>
      </c>
      <c r="K59" s="1"/>
      <c r="L59" s="1">
        <f>'Geometry Calculator'!L38+('Geometry Calculator'!L42-'Geometry Calculator'!L43)*COS(RADIANS(90-'Geometry Calculator'!L40))</f>
        <v>36.080017106371265</v>
      </c>
      <c r="M59" s="2"/>
      <c r="N59" s="1">
        <f>'Geometry Calculator'!N38+('Geometry Calculator'!N42-'Geometry Calculator'!N43)*COS(RADIANS(90-'Geometry Calculator'!N40))</f>
        <v>36.080017106371265</v>
      </c>
      <c r="O59" s="1"/>
      <c r="P59" s="1">
        <f>'Geometry Calculator'!P38+('Geometry Calculator'!P42-'Geometry Calculator'!P43)*COS(RADIANS(90-'Geometry Calculator'!P40))</f>
        <v>23.080017106371265</v>
      </c>
      <c r="Q59" s="2"/>
      <c r="R59" s="1">
        <f>'Geometry Calculator'!R38+('Geometry Calculator'!R42-'Geometry Calculator'!R43)*COS(RADIANS(90-'Geometry Calculator'!R40))</f>
        <v>23.080017106371265</v>
      </c>
      <c r="S59" s="1"/>
      <c r="T59" s="1">
        <f>'Geometry Calculator'!T38+('Geometry Calculator'!T42-'Geometry Calculator'!T43)*COS(RADIANS(90-'Geometry Calculator'!T40))</f>
        <v>29.674287444990053</v>
      </c>
      <c r="U59" s="2"/>
      <c r="V59" s="1">
        <f>'Geometry Calculator'!V38+('Geometry Calculator'!V42-'Geometry Calculator'!V43)*COS(RADIANS(90-'Geometry Calculator'!V40))</f>
        <v>29.674287444990053</v>
      </c>
      <c r="W59" s="1"/>
      <c r="X59" s="1">
        <f>'Geometry Calculator'!X38+('Geometry Calculator'!X42-'Geometry Calculator'!X43)*COS(RADIANS(90-'Geometry Calculator'!X40))</f>
        <v>23.080017106371265</v>
      </c>
      <c r="Y59" s="2"/>
      <c r="Z59" s="1">
        <f>'Geometry Calculator'!Z38+('Geometry Calculator'!Z42-'Geometry Calculator'!Z43)*COS(RADIANS(90-'Geometry Calculator'!Z40))</f>
        <v>23.080017106371265</v>
      </c>
      <c r="AB59" s="159"/>
      <c r="AC59" s="2"/>
      <c r="AD59" s="1"/>
    </row>
    <row r="60" spans="6:30" x14ac:dyDescent="0.25">
      <c r="F60" t="s">
        <v>104</v>
      </c>
      <c r="H60" s="1">
        <f>H32+H58*COS(RADIANS(-'Geometry Calculator'!H41))-H59*SIN(RADIANS(-'Geometry Calculator'!H41))</f>
        <v>881.71564553698795</v>
      </c>
      <c r="I60" s="2"/>
      <c r="J60" s="1">
        <f>J32+J58*COS(RADIANS(-'Geometry Calculator'!J41))-J59*SIN(RADIANS(-'Geometry Calculator'!J41))</f>
        <v>872.35301786249727</v>
      </c>
      <c r="K60" s="1"/>
      <c r="L60" s="1">
        <f>L32+L58*COS(RADIANS(-'Geometry Calculator'!L41))-L59*SIN(RADIANS(-'Geometry Calculator'!L41))</f>
        <v>898.15301311074086</v>
      </c>
      <c r="M60" s="2"/>
      <c r="N60" s="1">
        <f>N32+N58*COS(RADIANS(-'Geometry Calculator'!N41))-N59*SIN(RADIANS(-'Geometry Calculator'!N41))</f>
        <v>898.15301311074086</v>
      </c>
      <c r="O60" s="1"/>
      <c r="P60" s="1">
        <f>P32+P58*COS(RADIANS(-'Geometry Calculator'!P41))-P59*SIN(RADIANS(-'Geometry Calculator'!P41))</f>
        <v>869.71403770454242</v>
      </c>
      <c r="Q60" s="2"/>
      <c r="R60" s="1">
        <f>R32+R58*COS(RADIANS(-'Geometry Calculator'!R41))-R59*SIN(RADIANS(-'Geometry Calculator'!R41))</f>
        <v>852.50723753733064</v>
      </c>
      <c r="S60" s="1"/>
      <c r="T60" s="1">
        <f>T32+T58*COS(RADIANS(-'Geometry Calculator'!T41))-T59*SIN(RADIANS(-'Geometry Calculator'!T41))</f>
        <v>898.62520942446531</v>
      </c>
      <c r="U60" s="2"/>
      <c r="V60" s="1">
        <f>V32+V58*COS(RADIANS(-'Geometry Calculator'!V41))-V59*SIN(RADIANS(-'Geometry Calculator'!V41))</f>
        <v>897.95679324766058</v>
      </c>
      <c r="W60" s="1"/>
      <c r="X60" s="1">
        <f>X32+X58*COS(RADIANS(-'Geometry Calculator'!X41))-X59*SIN(RADIANS(-'Geometry Calculator'!X41))</f>
        <v>892.33088590260036</v>
      </c>
      <c r="Y60" s="2"/>
      <c r="Z60" s="1">
        <f>Z32+Z58*COS(RADIANS(-'Geometry Calculator'!Z41))-Z59*SIN(RADIANS(-'Geometry Calculator'!Z41))</f>
        <v>890.69721137015097</v>
      </c>
      <c r="AB60" s="159"/>
      <c r="AC60" s="2"/>
      <c r="AD60" s="1"/>
    </row>
    <row r="61" spans="6:30" x14ac:dyDescent="0.25">
      <c r="F61" t="s">
        <v>105</v>
      </c>
      <c r="H61" s="1">
        <f>H33+H58*SIN(RADIANS(-'Geometry Calculator'!H41))+H59*COS(RADIANS(-'Geometry Calculator'!H41))</f>
        <v>685.58773224905713</v>
      </c>
      <c r="I61" s="2"/>
      <c r="J61" s="1">
        <f>J33+J58*SIN(RADIANS(-'Geometry Calculator'!J41))+J59*COS(RADIANS(-'Geometry Calculator'!J41))</f>
        <v>703.29001277255202</v>
      </c>
      <c r="K61" s="1"/>
      <c r="L61" s="1">
        <f>L33+L58*SIN(RADIANS(-'Geometry Calculator'!L41))+L59*COS(RADIANS(-'Geometry Calculator'!L41))</f>
        <v>671.424443483392</v>
      </c>
      <c r="M61" s="2"/>
      <c r="N61" s="1">
        <f>N33+N58*SIN(RADIANS(-'Geometry Calculator'!N41))+N59*COS(RADIANS(-'Geometry Calculator'!N41))</f>
        <v>671.424443483392</v>
      </c>
      <c r="O61" s="1"/>
      <c r="P61" s="1">
        <f>P33+P58*SIN(RADIANS(-'Geometry Calculator'!P41))+P59*COS(RADIANS(-'Geometry Calculator'!P41))</f>
        <v>649.66058726559288</v>
      </c>
      <c r="Q61" s="2"/>
      <c r="R61" s="1">
        <f>R33+R58*SIN(RADIANS(-'Geometry Calculator'!R41))+R59*COS(RADIANS(-'Geometry Calculator'!R41))</f>
        <v>666.69734933440691</v>
      </c>
      <c r="S61" s="1"/>
      <c r="T61" s="1">
        <f>T33+T58*SIN(RADIANS(-'Geometry Calculator'!T41))+T59*COS(RADIANS(-'Geometry Calculator'!T41))</f>
        <v>661.22371325178995</v>
      </c>
      <c r="U61" s="2"/>
      <c r="V61" s="1">
        <f>V33+V58*SIN(RADIANS(-'Geometry Calculator'!V41))+V59*COS(RADIANS(-'Geometry Calculator'!V41))</f>
        <v>653.47704217145997</v>
      </c>
      <c r="W61" s="1"/>
      <c r="X61" s="1">
        <f>X33+X58*SIN(RADIANS(-'Geometry Calculator'!X41))+X59*COS(RADIANS(-'Geometry Calculator'!X41))</f>
        <v>708.56040990371321</v>
      </c>
      <c r="Y61" s="2"/>
      <c r="Z61" s="1">
        <f>Z33+Z58*SIN(RADIANS(-'Geometry Calculator'!Z41))+Z59*COS(RADIANS(-'Geometry Calculator'!Z41))</f>
        <v>700.78229556288784</v>
      </c>
      <c r="AB61" s="159"/>
      <c r="AC61" s="2"/>
      <c r="AD61" s="1"/>
    </row>
    <row r="62" spans="6:30" x14ac:dyDescent="0.25">
      <c r="F62" t="s">
        <v>319</v>
      </c>
      <c r="H62" s="1">
        <f>H56-('Geometry Calculator'!H43)*COS(RADIANS(-'Geometry Calculator'!H39))*SIN(RADIANS(90-'Geometry Calculator'!H40))</f>
        <v>251.75502602991239</v>
      </c>
      <c r="I62" s="2"/>
      <c r="J62" s="1">
        <f>J56-('Geometry Calculator'!J43)*COS(RADIANS(-'Geometry Calculator'!J39))*SIN(RADIANS(90-'Geometry Calculator'!J40))</f>
        <v>251.75502602991239</v>
      </c>
      <c r="K62" s="1"/>
      <c r="L62" s="1">
        <f>L56-('Geometry Calculator'!L43)*COS(RADIANS(-'Geometry Calculator'!L39))*SIN(RADIANS(90-'Geometry Calculator'!L40))</f>
        <v>255.87479081007598</v>
      </c>
      <c r="M62" s="2"/>
      <c r="N62" s="1">
        <f>N56-('Geometry Calculator'!N43)*COS(RADIANS(-'Geometry Calculator'!N39))*SIN(RADIANS(90-'Geometry Calculator'!N40))</f>
        <v>255.87479081007598</v>
      </c>
      <c r="O62" s="1"/>
      <c r="P62" s="1">
        <f>P56-('Geometry Calculator'!P43)*COS(RADIANS(-'Geometry Calculator'!P39))*SIN(RADIANS(90-'Geometry Calculator'!P40))</f>
        <v>258.37479081007598</v>
      </c>
      <c r="Q62" s="2"/>
      <c r="R62" s="1">
        <f>R56-('Geometry Calculator'!R43)*COS(RADIANS(-'Geometry Calculator'!R39))*SIN(RADIANS(90-'Geometry Calculator'!R40))</f>
        <v>258.37479081007598</v>
      </c>
      <c r="S62" s="1"/>
      <c r="T62" s="1">
        <f>T56-('Geometry Calculator'!T43)*COS(RADIANS(-'Geometry Calculator'!T39))*SIN(RADIANS(90-'Geometry Calculator'!T40))</f>
        <v>263.15339497210005</v>
      </c>
      <c r="U62" s="2"/>
      <c r="V62" s="1">
        <f>V56-('Geometry Calculator'!V43)*COS(RADIANS(-'Geometry Calculator'!V39))*SIN(RADIANS(90-'Geometry Calculator'!V40))</f>
        <v>263.15339497210005</v>
      </c>
      <c r="W62" s="1"/>
      <c r="X62" s="1">
        <f>X56-('Geometry Calculator'!X43)*COS(RADIANS(-'Geometry Calculator'!X39))*SIN(RADIANS(90-'Geometry Calculator'!X40))</f>
        <v>255.37479081007598</v>
      </c>
      <c r="Y62" s="2"/>
      <c r="Z62" s="1">
        <f>Z56-('Geometry Calculator'!Z43)*COS(RADIANS(-'Geometry Calculator'!Z39))*SIN(RADIANS(90-'Geometry Calculator'!Z40))</f>
        <v>255.37479081007598</v>
      </c>
      <c r="AB62" s="159"/>
      <c r="AC62" s="2"/>
      <c r="AD62" s="1"/>
    </row>
    <row r="63" spans="6:30" x14ac:dyDescent="0.25">
      <c r="F63" t="s">
        <v>320</v>
      </c>
      <c r="H63" s="1">
        <f>-H62</f>
        <v>-251.75502602991239</v>
      </c>
      <c r="I63" s="2"/>
      <c r="J63" s="1">
        <f t="shared" ref="J63" si="16">-J62</f>
        <v>-251.75502602991239</v>
      </c>
      <c r="K63" s="1"/>
      <c r="L63" s="1">
        <f>-L62</f>
        <v>-255.87479081007598</v>
      </c>
      <c r="M63" s="2"/>
      <c r="N63" s="1">
        <f t="shared" ref="N63" si="17">-N62</f>
        <v>-255.87479081007598</v>
      </c>
      <c r="O63" s="1"/>
      <c r="P63" s="1">
        <f>-P62</f>
        <v>-258.37479081007598</v>
      </c>
      <c r="Q63" s="2"/>
      <c r="R63" s="1">
        <f t="shared" ref="R63" si="18">-R62</f>
        <v>-258.37479081007598</v>
      </c>
      <c r="S63" s="1"/>
      <c r="T63" s="1">
        <f>-T62</f>
        <v>-263.15339497210005</v>
      </c>
      <c r="U63" s="2"/>
      <c r="V63" s="1">
        <f t="shared" ref="V63" si="19">-V62</f>
        <v>-263.15339497210005</v>
      </c>
      <c r="W63" s="1"/>
      <c r="X63" s="1">
        <f>-X62</f>
        <v>-255.37479081007598</v>
      </c>
      <c r="Y63" s="2"/>
      <c r="Z63" s="1">
        <f t="shared" ref="Z63" si="20">-Z62</f>
        <v>-255.37479081007598</v>
      </c>
      <c r="AB63" s="159"/>
      <c r="AC63" s="2"/>
      <c r="AD63" s="1"/>
    </row>
    <row r="65" spans="5:30" x14ac:dyDescent="0.25">
      <c r="F65" t="s">
        <v>1</v>
      </c>
      <c r="H65" s="1">
        <f>H2+H$145</f>
        <v>0</v>
      </c>
      <c r="I65" s="5"/>
      <c r="J65" s="1">
        <f>J2+J$145</f>
        <v>0</v>
      </c>
      <c r="K65" s="1"/>
      <c r="L65" s="1">
        <f>L2+L$145</f>
        <v>-100000</v>
      </c>
      <c r="M65" s="5"/>
      <c r="N65" s="1">
        <f>N2+N$145</f>
        <v>-100000</v>
      </c>
      <c r="O65" s="1"/>
      <c r="P65" s="1">
        <f>P2+P$145</f>
        <v>-100000</v>
      </c>
      <c r="Q65" s="5"/>
      <c r="R65" s="1">
        <f>R2+R$145</f>
        <v>-100000</v>
      </c>
      <c r="S65" s="1"/>
      <c r="T65" s="1">
        <f>T2+T$145</f>
        <v>-100000</v>
      </c>
      <c r="U65" s="5"/>
      <c r="V65" s="1">
        <f>V2+V$145</f>
        <v>-100000</v>
      </c>
      <c r="W65" s="1"/>
      <c r="X65" s="1">
        <f>X2+X$145</f>
        <v>-100000</v>
      </c>
      <c r="Y65" s="5"/>
      <c r="Z65" s="1">
        <f>Z2+Z$145</f>
        <v>-100000</v>
      </c>
      <c r="AB65" s="159"/>
      <c r="AC65" s="5"/>
      <c r="AD65" s="1"/>
    </row>
    <row r="66" spans="5:30" x14ac:dyDescent="0.25">
      <c r="F66" t="s">
        <v>2</v>
      </c>
      <c r="H66" s="1">
        <f>H3+H$146</f>
        <v>0</v>
      </c>
      <c r="I66" s="5"/>
      <c r="J66" s="1">
        <f>J3+J$146</f>
        <v>0</v>
      </c>
      <c r="K66" s="1"/>
      <c r="L66" s="1">
        <f>L3+L$146</f>
        <v>-100000</v>
      </c>
      <c r="M66" s="5"/>
      <c r="N66" s="1">
        <f>N3+N$146</f>
        <v>-100000</v>
      </c>
      <c r="O66" s="1"/>
      <c r="P66" s="1">
        <f>P3+P$146</f>
        <v>-100000</v>
      </c>
      <c r="Q66" s="5"/>
      <c r="R66" s="1">
        <f>R3+R$146</f>
        <v>-100000</v>
      </c>
      <c r="S66" s="1"/>
      <c r="T66" s="1">
        <f>T3+T$146</f>
        <v>-100000</v>
      </c>
      <c r="U66" s="5"/>
      <c r="V66" s="1">
        <f>V3+V$146</f>
        <v>-100000</v>
      </c>
      <c r="W66" s="1"/>
      <c r="X66" s="1">
        <f>X3+X$146</f>
        <v>-100000</v>
      </c>
      <c r="Y66" s="5"/>
      <c r="Z66" s="1">
        <f>Z3+Z$146</f>
        <v>-100000</v>
      </c>
      <c r="AB66" s="159"/>
      <c r="AC66" s="5"/>
      <c r="AD66" s="1"/>
    </row>
    <row r="67" spans="5:30" x14ac:dyDescent="0.25">
      <c r="F67" t="s">
        <v>67</v>
      </c>
      <c r="H67" s="1">
        <f>H4+H$145</f>
        <v>0</v>
      </c>
      <c r="I67" s="5"/>
      <c r="J67" s="1">
        <f>J4+J$145</f>
        <v>0</v>
      </c>
      <c r="K67" s="1"/>
      <c r="L67" s="1">
        <f>L4+L$145</f>
        <v>-100000</v>
      </c>
      <c r="M67" s="5"/>
      <c r="N67" s="1">
        <f>N4+N$145</f>
        <v>-100000</v>
      </c>
      <c r="O67" s="1"/>
      <c r="P67" s="1">
        <f>P4+P$145</f>
        <v>-100000</v>
      </c>
      <c r="Q67" s="5"/>
      <c r="R67" s="1">
        <f>R4+R$145</f>
        <v>-100000</v>
      </c>
      <c r="S67" s="1"/>
      <c r="T67" s="1">
        <f>T4+T$145</f>
        <v>-100000</v>
      </c>
      <c r="U67" s="5"/>
      <c r="V67" s="1">
        <f>V4+V$145</f>
        <v>-100000</v>
      </c>
      <c r="W67" s="1"/>
      <c r="X67" s="1">
        <f>X4+X$145</f>
        <v>-100000</v>
      </c>
      <c r="Y67" s="5"/>
      <c r="Z67" s="1">
        <f>Z4+Z$145</f>
        <v>-100000</v>
      </c>
      <c r="AB67" s="159"/>
      <c r="AC67" s="5"/>
      <c r="AD67" s="1"/>
    </row>
    <row r="68" spans="5:30" x14ac:dyDescent="0.25">
      <c r="F68" t="s">
        <v>68</v>
      </c>
      <c r="H68" s="1">
        <f>H5+H$146</f>
        <v>-370</v>
      </c>
      <c r="I68" s="5"/>
      <c r="J68" s="1">
        <f>J5+J$146</f>
        <v>-370</v>
      </c>
      <c r="K68" s="1"/>
      <c r="L68" s="1">
        <f>L5+L$146</f>
        <v>-100377</v>
      </c>
      <c r="M68" s="5"/>
      <c r="N68" s="1">
        <f>N5+N$146</f>
        <v>-100377</v>
      </c>
      <c r="O68" s="1"/>
      <c r="P68" s="1">
        <f>P5+P$146</f>
        <v>-100363</v>
      </c>
      <c r="Q68" s="5"/>
      <c r="R68" s="1">
        <f>R5+R$146</f>
        <v>-100363</v>
      </c>
      <c r="S68" s="1"/>
      <c r="T68" s="1">
        <f>T5+T$146</f>
        <v>-100372</v>
      </c>
      <c r="U68" s="5"/>
      <c r="V68" s="1">
        <f>V5+V$146</f>
        <v>-100372</v>
      </c>
      <c r="W68" s="1"/>
      <c r="X68" s="1">
        <f>X5+X$146</f>
        <v>-100382.5</v>
      </c>
      <c r="Y68" s="5"/>
      <c r="Z68" s="1">
        <f>Z5+Z$146</f>
        <v>-100382.5</v>
      </c>
      <c r="AB68" s="159"/>
      <c r="AC68" s="5"/>
      <c r="AD68" s="1"/>
    </row>
    <row r="69" spans="5:30" x14ac:dyDescent="0.25">
      <c r="F69" t="s">
        <v>4</v>
      </c>
      <c r="H69" s="1">
        <f>H6+H$145</f>
        <v>436.48059521586981</v>
      </c>
      <c r="I69" s="5"/>
      <c r="J69" s="1">
        <f>J6+J$145</f>
        <v>446.70673786560144</v>
      </c>
      <c r="K69" s="1"/>
      <c r="L69" s="1">
        <f>L6+L$145</f>
        <v>-99575.548589353275</v>
      </c>
      <c r="M69" s="5"/>
      <c r="N69" s="1">
        <f>N6+N$145</f>
        <v>-99575.548589353275</v>
      </c>
      <c r="O69" s="1"/>
      <c r="P69" s="1">
        <f>P6+P$145</f>
        <v>-99588.660723975932</v>
      </c>
      <c r="Q69" s="5"/>
      <c r="R69" s="1">
        <f>R6+R$145</f>
        <v>-99587.639058602668</v>
      </c>
      <c r="S69" s="1"/>
      <c r="T69" s="1">
        <f>T6+T$145</f>
        <v>-99566.410332226427</v>
      </c>
      <c r="U69" s="5"/>
      <c r="V69" s="1">
        <f>V6+V$145</f>
        <v>-99566.686922668305</v>
      </c>
      <c r="W69" s="1"/>
      <c r="X69" s="1">
        <f>X6+X$145</f>
        <v>-99530.140712553213</v>
      </c>
      <c r="Y69" s="5"/>
      <c r="Z69" s="1">
        <f>Z6+Z$145</f>
        <v>-99530.241576642904</v>
      </c>
      <c r="AB69" s="159"/>
      <c r="AC69" s="5"/>
      <c r="AD69" s="1"/>
    </row>
    <row r="70" spans="5:30" x14ac:dyDescent="0.25">
      <c r="F70" s="131" t="s">
        <v>6</v>
      </c>
      <c r="H70" s="1">
        <f>H7+H$146</f>
        <v>-21.3</v>
      </c>
      <c r="I70" s="5"/>
      <c r="J70" s="1">
        <f>J7+J$146</f>
        <v>-15.865126844442461</v>
      </c>
      <c r="K70" s="1"/>
      <c r="L70" s="1">
        <f>L7+L$146</f>
        <v>-100055</v>
      </c>
      <c r="M70" s="5"/>
      <c r="N70" s="1">
        <f>N7+N$146</f>
        <v>-100055</v>
      </c>
      <c r="O70" s="1"/>
      <c r="P70" s="1">
        <f>P7+P$146</f>
        <v>-100055</v>
      </c>
      <c r="Q70" s="5"/>
      <c r="R70" s="1">
        <f>R7+R$146</f>
        <v>-100046.72744386234</v>
      </c>
      <c r="S70" s="1"/>
      <c r="T70" s="1">
        <f>T7+T$146</f>
        <v>-100035</v>
      </c>
      <c r="U70" s="5"/>
      <c r="V70" s="1">
        <f>V7+V$146</f>
        <v>-100038.27240537701</v>
      </c>
      <c r="W70" s="1"/>
      <c r="X70" s="1">
        <f>X7+X$146</f>
        <v>-100011.5</v>
      </c>
      <c r="Y70" s="5"/>
      <c r="Z70" s="1">
        <f>Z7+Z$146</f>
        <v>-100015.06730516901</v>
      </c>
      <c r="AB70" s="159"/>
      <c r="AC70" s="5"/>
      <c r="AD70" s="1"/>
    </row>
    <row r="71" spans="5:30" x14ac:dyDescent="0.25">
      <c r="E71" s="39"/>
      <c r="F71" s="131" t="s">
        <v>335</v>
      </c>
      <c r="H71" s="1">
        <f>H6+H$149</f>
        <v>436.48059521586981</v>
      </c>
      <c r="I71" s="5"/>
      <c r="J71" s="1">
        <f>J6+J$149</f>
        <v>446.70673786560144</v>
      </c>
      <c r="K71" s="1"/>
      <c r="L71" s="1">
        <f>L6+L$149</f>
        <v>-99575.548589353275</v>
      </c>
      <c r="M71" s="5"/>
      <c r="N71" s="1">
        <f>N6+N$149</f>
        <v>-99575.548589353275</v>
      </c>
      <c r="O71" s="1"/>
      <c r="P71" s="1">
        <f>P6+P$149</f>
        <v>-99588.660723975932</v>
      </c>
      <c r="Q71" s="5"/>
      <c r="R71" s="1">
        <f>R6+R$149</f>
        <v>-99587.639058602668</v>
      </c>
      <c r="S71" s="1"/>
      <c r="T71" s="1">
        <f>T6+T$149</f>
        <v>-99566.410332226427</v>
      </c>
      <c r="U71" s="5"/>
      <c r="V71" s="1">
        <f>V6+V$149</f>
        <v>-99566.686922668305</v>
      </c>
      <c r="W71" s="1"/>
      <c r="X71" s="1">
        <f>X6+X$149</f>
        <v>-99530.140712553213</v>
      </c>
      <c r="Y71" s="5"/>
      <c r="Z71" s="1">
        <f>Z6+Z$149</f>
        <v>-99530.241576642904</v>
      </c>
      <c r="AB71" s="159"/>
      <c r="AC71" s="5"/>
      <c r="AD71" s="1"/>
    </row>
    <row r="72" spans="5:30" x14ac:dyDescent="0.25">
      <c r="E72" s="39"/>
      <c r="F72" s="131" t="s">
        <v>336</v>
      </c>
      <c r="H72" s="1">
        <f>H7+H$150</f>
        <v>-21.3</v>
      </c>
      <c r="I72" s="5"/>
      <c r="J72" s="1">
        <f>J7+J$150</f>
        <v>-15.865126844442461</v>
      </c>
      <c r="K72" s="1"/>
      <c r="L72" s="1">
        <f>L7+L$150</f>
        <v>-100055</v>
      </c>
      <c r="M72" s="5"/>
      <c r="N72" s="1">
        <f>N7+N$150</f>
        <v>-100055</v>
      </c>
      <c r="O72" s="1"/>
      <c r="P72" s="1">
        <f>P7+P$150</f>
        <v>-100055</v>
      </c>
      <c r="Q72" s="5"/>
      <c r="R72" s="1">
        <f>R7+R$150</f>
        <v>-100046.72744386234</v>
      </c>
      <c r="S72" s="1"/>
      <c r="T72" s="1">
        <f>T7+T$150</f>
        <v>-100035</v>
      </c>
      <c r="U72" s="5"/>
      <c r="V72" s="1">
        <f>V7+V$150</f>
        <v>-100038.27240537701</v>
      </c>
      <c r="W72" s="1"/>
      <c r="X72" s="1">
        <f>X7+X$150</f>
        <v>-100011.5</v>
      </c>
      <c r="Y72" s="5"/>
      <c r="Z72" s="1">
        <f>Z7+Z$150</f>
        <v>-100015.06730516901</v>
      </c>
      <c r="AB72" s="159"/>
      <c r="AC72" s="5"/>
      <c r="AD72" s="1"/>
    </row>
    <row r="73" spans="5:30" x14ac:dyDescent="0.25">
      <c r="F73" s="131" t="s">
        <v>18</v>
      </c>
      <c r="H73" s="1">
        <f>H8+H$145</f>
        <v>943.14192683286524</v>
      </c>
      <c r="I73" s="5"/>
      <c r="J73" s="1">
        <f>J8+J$145</f>
        <v>947.01853146346787</v>
      </c>
      <c r="K73" s="1"/>
      <c r="L73" s="1">
        <f>L8+L$145</f>
        <v>-99054.834397944389</v>
      </c>
      <c r="M73" s="5"/>
      <c r="N73" s="1">
        <f>N8+N$145</f>
        <v>-99054.834397944389</v>
      </c>
      <c r="O73" s="1"/>
      <c r="P73" s="1">
        <f>P8+P$145</f>
        <v>-99093.707932766032</v>
      </c>
      <c r="Q73" s="5"/>
      <c r="R73" s="1">
        <f>R8+R$145</f>
        <v>-99103.064003376145</v>
      </c>
      <c r="S73" s="1"/>
      <c r="T73" s="1">
        <f>T8+T$145</f>
        <v>-99060.547934644652</v>
      </c>
      <c r="U73" s="5"/>
      <c r="V73" s="1">
        <f>V8+V$145</f>
        <v>-99056.972644894122</v>
      </c>
      <c r="W73" s="1"/>
      <c r="X73" s="1">
        <f>X8+X$145</f>
        <v>-99066.441855409154</v>
      </c>
      <c r="Y73" s="5"/>
      <c r="Z73" s="1">
        <f>Z8+Z$145</f>
        <v>-99062.740866758904</v>
      </c>
      <c r="AB73" s="159"/>
      <c r="AC73" s="5"/>
      <c r="AD73" s="1"/>
    </row>
    <row r="74" spans="5:30" x14ac:dyDescent="0.25">
      <c r="F74" s="131" t="s">
        <v>20</v>
      </c>
      <c r="H74" s="1">
        <f>H9+H$146</f>
        <v>497.38976587801676</v>
      </c>
      <c r="I74" s="5"/>
      <c r="J74" s="1">
        <f>J9+J$146</f>
        <v>508.95187685245071</v>
      </c>
      <c r="K74" s="1"/>
      <c r="L74" s="1">
        <f>L9+L$146</f>
        <v>-99524.756934444391</v>
      </c>
      <c r="M74" s="5"/>
      <c r="N74" s="1">
        <f>N9+N$146</f>
        <v>-99524.756934444391</v>
      </c>
      <c r="O74" s="1"/>
      <c r="P74" s="1">
        <f>P9+P$146</f>
        <v>-99543.262062548019</v>
      </c>
      <c r="Q74" s="5"/>
      <c r="R74" s="1">
        <f>R9+R$146</f>
        <v>-99525.151947882812</v>
      </c>
      <c r="S74" s="1"/>
      <c r="T74" s="1">
        <f>T9+T$146</f>
        <v>-99522.876608182371</v>
      </c>
      <c r="U74" s="5"/>
      <c r="V74" s="1">
        <f>V9+V$146</f>
        <v>-99529.982636871748</v>
      </c>
      <c r="W74" s="1"/>
      <c r="X74" s="1">
        <f>X9+X$146</f>
        <v>-99509.033901093688</v>
      </c>
      <c r="Y74" s="5"/>
      <c r="Z74" s="1">
        <f>Z9+Z$146</f>
        <v>-99516.136551531978</v>
      </c>
      <c r="AB74" s="159"/>
      <c r="AC74" s="5"/>
      <c r="AD74" s="1"/>
    </row>
    <row r="75" spans="5:30" x14ac:dyDescent="0.25">
      <c r="F75" s="131" t="s">
        <v>14</v>
      </c>
      <c r="H75" s="1">
        <f>H10+H$145</f>
        <v>891.48059521586981</v>
      </c>
      <c r="I75" s="5"/>
      <c r="J75" s="1">
        <f>J10+J$145</f>
        <v>890.28293729417851</v>
      </c>
      <c r="K75" s="1"/>
      <c r="L75" s="1">
        <f>L10+L$145</f>
        <v>-99105.548589353275</v>
      </c>
      <c r="M75" s="5"/>
      <c r="N75" s="1">
        <f>N10+N$145</f>
        <v>-99105.548589353275</v>
      </c>
      <c r="O75" s="1"/>
      <c r="P75" s="1">
        <f>P10+P$145</f>
        <v>-99138.660723975932</v>
      </c>
      <c r="Q75" s="5"/>
      <c r="R75" s="1">
        <f>R10+R$145</f>
        <v>-99153.131618108193</v>
      </c>
      <c r="S75" s="1"/>
      <c r="T75" s="1">
        <f>T10+T$145</f>
        <v>-99104.410332226427</v>
      </c>
      <c r="U75" s="5"/>
      <c r="V75" s="1">
        <f>V10+V$145</f>
        <v>-99103.606372513052</v>
      </c>
      <c r="W75" s="1"/>
      <c r="X75" s="1">
        <f>X10+X$145</f>
        <v>-99115.140712553213</v>
      </c>
      <c r="Y75" s="5"/>
      <c r="Z75" s="1">
        <f>Z10+Z$145</f>
        <v>-99114.745035284723</v>
      </c>
      <c r="AB75" s="159"/>
      <c r="AC75" s="5"/>
      <c r="AD75" s="1"/>
    </row>
    <row r="76" spans="5:30" x14ac:dyDescent="0.25">
      <c r="F76" s="131" t="s">
        <v>16</v>
      </c>
      <c r="H76" s="1">
        <f>H11+H$146</f>
        <v>605.70000000000005</v>
      </c>
      <c r="I76" s="5"/>
      <c r="J76" s="1">
        <f>J11+J$146</f>
        <v>614.77546864700753</v>
      </c>
      <c r="K76" s="1"/>
      <c r="L76" s="1">
        <f>L11+L$146</f>
        <v>-99416</v>
      </c>
      <c r="M76" s="5"/>
      <c r="N76" s="1">
        <f>N11+N$146</f>
        <v>-99416</v>
      </c>
      <c r="O76" s="1"/>
      <c r="P76" s="1">
        <f>P11+P$146</f>
        <v>-99432</v>
      </c>
      <c r="Q76" s="5"/>
      <c r="R76" s="1">
        <f>R11+R$146</f>
        <v>-99416.050581847012</v>
      </c>
      <c r="S76" s="1"/>
      <c r="T76" s="1">
        <f>T11+T$146</f>
        <v>-99422</v>
      </c>
      <c r="U76" s="5"/>
      <c r="V76" s="1">
        <f>V11+V$146</f>
        <v>-99430.282832879559</v>
      </c>
      <c r="W76" s="1"/>
      <c r="X76" s="1">
        <f>X11+X$146</f>
        <v>-99388.5</v>
      </c>
      <c r="Y76" s="5"/>
      <c r="Z76" s="1">
        <f>Z11+Z$146</f>
        <v>-99396.904947783914</v>
      </c>
      <c r="AB76" s="159"/>
      <c r="AC76" s="5"/>
      <c r="AD76" s="1"/>
    </row>
    <row r="77" spans="5:30" x14ac:dyDescent="0.25">
      <c r="E77" s="39"/>
      <c r="F77" s="131" t="s">
        <v>337</v>
      </c>
      <c r="H77" s="1">
        <f>H10+H$149</f>
        <v>891.48059521586981</v>
      </c>
      <c r="I77" s="5"/>
      <c r="J77" s="1">
        <f>J10+J$149</f>
        <v>890.28293729417851</v>
      </c>
      <c r="K77" s="1"/>
      <c r="L77" s="1">
        <f>L10+L$149</f>
        <v>-99105.548589353275</v>
      </c>
      <c r="M77" s="5"/>
      <c r="N77" s="1">
        <f>N10+N$149</f>
        <v>-99105.548589353275</v>
      </c>
      <c r="O77" s="1"/>
      <c r="P77" s="1">
        <f>P10+P$149</f>
        <v>-99138.660723975932</v>
      </c>
      <c r="Q77" s="5"/>
      <c r="R77" s="1">
        <f>R10+R$149</f>
        <v>-99153.131618108193</v>
      </c>
      <c r="S77" s="1"/>
      <c r="T77" s="1">
        <f>T10+T$149</f>
        <v>-99104.410332226427</v>
      </c>
      <c r="U77" s="5"/>
      <c r="V77" s="1">
        <f>V10+V$149</f>
        <v>-99103.606372513052</v>
      </c>
      <c r="W77" s="1"/>
      <c r="X77" s="1">
        <f>X10+X$149</f>
        <v>-99115.140712553213</v>
      </c>
      <c r="Y77" s="5"/>
      <c r="Z77" s="1">
        <f>Z10+Z$149</f>
        <v>-99114.745035284723</v>
      </c>
      <c r="AB77" s="159"/>
      <c r="AC77" s="5"/>
      <c r="AD77" s="1"/>
    </row>
    <row r="78" spans="5:30" x14ac:dyDescent="0.25">
      <c r="E78" s="39"/>
      <c r="F78" s="131" t="s">
        <v>338</v>
      </c>
      <c r="H78" s="1">
        <f>H11+H$150</f>
        <v>605.70000000000005</v>
      </c>
      <c r="I78" s="5"/>
      <c r="J78" s="1">
        <f>J11+J$150</f>
        <v>614.77546864700753</v>
      </c>
      <c r="K78" s="1"/>
      <c r="L78" s="1">
        <f>L11+L$150</f>
        <v>-99416</v>
      </c>
      <c r="M78" s="5"/>
      <c r="N78" s="1">
        <f>N11+N$150</f>
        <v>-99416</v>
      </c>
      <c r="O78" s="1"/>
      <c r="P78" s="1">
        <f>P11+P$150</f>
        <v>-99432</v>
      </c>
      <c r="Q78" s="5"/>
      <c r="R78" s="1">
        <f>R11+R$150</f>
        <v>-99416.050581847012</v>
      </c>
      <c r="S78" s="1"/>
      <c r="T78" s="1">
        <f>T11+T$150</f>
        <v>-99422</v>
      </c>
      <c r="U78" s="5"/>
      <c r="V78" s="1">
        <f>V11+V$150</f>
        <v>-99430.282832879559</v>
      </c>
      <c r="W78" s="1"/>
      <c r="X78" s="1">
        <f>X11+X$150</f>
        <v>-99388.5</v>
      </c>
      <c r="Y78" s="5"/>
      <c r="Z78" s="1">
        <f>Z11+Z$150</f>
        <v>-99396.904947783914</v>
      </c>
      <c r="AB78" s="159"/>
      <c r="AC78" s="5"/>
      <c r="AD78" s="1"/>
    </row>
    <row r="79" spans="5:30" x14ac:dyDescent="0.25">
      <c r="F79" s="131" t="s">
        <v>64</v>
      </c>
      <c r="H79" s="1">
        <f>H12+H$146</f>
        <v>605.70000000000005</v>
      </c>
      <c r="I79" s="5"/>
      <c r="J79" s="1">
        <f>J12+J$146</f>
        <v>609.27070746400273</v>
      </c>
      <c r="K79" s="1"/>
      <c r="L79" s="1">
        <f>L12+L$146</f>
        <v>-99416</v>
      </c>
      <c r="M79" s="5"/>
      <c r="N79" s="1">
        <f>N12+N$146</f>
        <v>-99416</v>
      </c>
      <c r="O79" s="1"/>
      <c r="P79" s="1">
        <f>P12+P$146</f>
        <v>-99432</v>
      </c>
      <c r="Q79" s="5"/>
      <c r="R79" s="1">
        <f>R12+R$146</f>
        <v>-99427.205828754843</v>
      </c>
      <c r="S79" s="1"/>
      <c r="T79" s="1">
        <f>T12+T$146</f>
        <v>-99422</v>
      </c>
      <c r="U79" s="5"/>
      <c r="V79" s="1">
        <f>V12+V$146</f>
        <v>-99424.0064532705</v>
      </c>
      <c r="W79" s="1"/>
      <c r="X79" s="1">
        <f>X12+X$146</f>
        <v>-99388.5</v>
      </c>
      <c r="Y79" s="5"/>
      <c r="Z79" s="1">
        <f>Z12+Z$146</f>
        <v>-99390.817748917121</v>
      </c>
      <c r="AB79" s="159"/>
      <c r="AC79" s="5"/>
      <c r="AD79" s="1"/>
    </row>
    <row r="80" spans="5:30" x14ac:dyDescent="0.25">
      <c r="F80" s="131" t="s">
        <v>63</v>
      </c>
      <c r="H80" s="1">
        <f>H13+H$145</f>
        <v>287.10812541501127</v>
      </c>
      <c r="I80" s="5"/>
      <c r="J80" s="1">
        <f>J13+J$145</f>
        <v>289.71526230755546</v>
      </c>
      <c r="K80" s="1"/>
      <c r="L80" s="1">
        <f>L13+L$145</f>
        <v>-99730.138958908341</v>
      </c>
      <c r="M80" s="5"/>
      <c r="N80" s="1">
        <f>N13+N$145</f>
        <v>-99730.138958908341</v>
      </c>
      <c r="O80" s="1"/>
      <c r="P80" s="1">
        <f>P13+P$145</f>
        <v>-99755.59307086053</v>
      </c>
      <c r="Q80" s="5"/>
      <c r="R80" s="1">
        <f>R13+R$145</f>
        <v>-99767.050253490248</v>
      </c>
      <c r="S80" s="1"/>
      <c r="T80" s="1">
        <f>T13+T$145</f>
        <v>-99736.410277735107</v>
      </c>
      <c r="U80" s="5"/>
      <c r="V80" s="1">
        <f>V13+V$145</f>
        <v>-99732.054155080434</v>
      </c>
      <c r="W80" s="1"/>
      <c r="X80" s="1">
        <f>X13+X$145</f>
        <v>-99697.073059437811</v>
      </c>
      <c r="Y80" s="5"/>
      <c r="Z80" s="1">
        <f>Z13+Z$145</f>
        <v>-99692.438678823295</v>
      </c>
      <c r="AB80" s="159"/>
      <c r="AC80" s="5"/>
      <c r="AD80" s="1"/>
    </row>
    <row r="81" spans="5:30" x14ac:dyDescent="0.25">
      <c r="F81" s="131" t="s">
        <v>32</v>
      </c>
      <c r="H81" s="1">
        <f>H14+H$146</f>
        <v>0</v>
      </c>
      <c r="I81" s="5"/>
      <c r="J81" s="1">
        <f>J14+J$146</f>
        <v>6.9999999999999982</v>
      </c>
      <c r="K81" s="1"/>
      <c r="L81" s="1">
        <f>L14+L$146</f>
        <v>-100000</v>
      </c>
      <c r="M81" s="5"/>
      <c r="N81" s="1">
        <f>N14+N$146</f>
        <v>-100000</v>
      </c>
      <c r="O81" s="1"/>
      <c r="P81" s="1">
        <f>P14+P$146</f>
        <v>-100000</v>
      </c>
      <c r="Q81" s="5"/>
      <c r="R81" s="1">
        <f>R14+R$146</f>
        <v>-99988.5</v>
      </c>
      <c r="S81" s="1"/>
      <c r="T81" s="1">
        <f>T14+T$146</f>
        <v>-100000</v>
      </c>
      <c r="U81" s="5"/>
      <c r="V81" s="1">
        <f>V14+V$146</f>
        <v>-100000</v>
      </c>
      <c r="W81" s="1"/>
      <c r="X81" s="1">
        <f>X14+X$146</f>
        <v>-100000</v>
      </c>
      <c r="Y81" s="5"/>
      <c r="Z81" s="1">
        <f>Z14+Z$146</f>
        <v>-100000</v>
      </c>
      <c r="AB81" s="159"/>
      <c r="AC81" s="5"/>
      <c r="AD81" s="1"/>
    </row>
    <row r="82" spans="5:30" x14ac:dyDescent="0.25">
      <c r="F82" s="131" t="s">
        <v>24</v>
      </c>
      <c r="H82" s="1">
        <f>H15+H$146</f>
        <v>-370</v>
      </c>
      <c r="I82" s="5"/>
      <c r="J82" s="1">
        <f>J15+J$146</f>
        <v>-370</v>
      </c>
      <c r="K82" s="1"/>
      <c r="L82" s="1">
        <f>L15+L$146</f>
        <v>-100377</v>
      </c>
      <c r="M82" s="5"/>
      <c r="N82" s="1">
        <f>N15+N$146</f>
        <v>-100377</v>
      </c>
      <c r="O82" s="1"/>
      <c r="P82" s="1">
        <f>P15+P$146</f>
        <v>-100363</v>
      </c>
      <c r="Q82" s="5"/>
      <c r="R82" s="1">
        <f>R15+R$146</f>
        <v>-100363</v>
      </c>
      <c r="S82" s="1"/>
      <c r="T82" s="1">
        <f>T15+T$146</f>
        <v>-100372</v>
      </c>
      <c r="U82" s="5"/>
      <c r="V82" s="1">
        <f>V15+V$146</f>
        <v>-100372</v>
      </c>
      <c r="W82" s="1"/>
      <c r="X82" s="1">
        <f>X15+X$146</f>
        <v>-100382.5</v>
      </c>
      <c r="Y82" s="5"/>
      <c r="Z82" s="1">
        <f>Z15+Z$146</f>
        <v>-100382.5</v>
      </c>
      <c r="AB82" s="159"/>
      <c r="AC82" s="5"/>
      <c r="AD82" s="1"/>
    </row>
    <row r="83" spans="5:30" x14ac:dyDescent="0.25">
      <c r="F83" s="131" t="s">
        <v>28</v>
      </c>
      <c r="H83" s="1">
        <f>H16+H$146</f>
        <v>-18.942488259564993</v>
      </c>
      <c r="I83" s="5"/>
      <c r="J83" s="1">
        <f>J16+J$146</f>
        <v>-12.845361332393088</v>
      </c>
      <c r="K83" s="1"/>
      <c r="L83" s="1">
        <f>L16+L$146</f>
        <v>-100017.74996699311</v>
      </c>
      <c r="M83" s="5"/>
      <c r="N83" s="1">
        <f>N16+N$146</f>
        <v>-100017.74996699311</v>
      </c>
      <c r="O83" s="1"/>
      <c r="P83" s="1">
        <f>P16+P$146</f>
        <v>-100019.10493626421</v>
      </c>
      <c r="Q83" s="5"/>
      <c r="R83" s="1">
        <f>R16+R$146</f>
        <v>-100009.77144456965</v>
      </c>
      <c r="S83" s="1"/>
      <c r="T83" s="1">
        <f>T16+T$146</f>
        <v>-100016.74746089485</v>
      </c>
      <c r="U83" s="5"/>
      <c r="V83" s="1">
        <f>V16+V$146</f>
        <v>-100017.79475839733</v>
      </c>
      <c r="W83" s="1"/>
      <c r="X83" s="1">
        <f>X16+X$146</f>
        <v>-100019.10493626421</v>
      </c>
      <c r="Y83" s="5"/>
      <c r="Z83" s="1">
        <f>Z16+Z$146</f>
        <v>-100020.38920721972</v>
      </c>
      <c r="AB83" s="159"/>
      <c r="AC83" s="5"/>
      <c r="AD83" s="1"/>
    </row>
    <row r="84" spans="5:30" x14ac:dyDescent="0.25">
      <c r="F84" s="131" t="s">
        <v>26</v>
      </c>
      <c r="H84" s="1">
        <f>H17+H$145</f>
        <v>1189.4197787993801</v>
      </c>
      <c r="I84" s="5"/>
      <c r="J84" s="1">
        <f>J17+J$145</f>
        <v>1226.7716171627771</v>
      </c>
      <c r="K84" s="1"/>
      <c r="L84" s="1">
        <f>L17+L$145</f>
        <v>-98824.947971449859</v>
      </c>
      <c r="M84" s="5"/>
      <c r="N84" s="1">
        <f>N17+N$145</f>
        <v>-98824.947971449859</v>
      </c>
      <c r="O84" s="1"/>
      <c r="P84" s="1">
        <f>P17+P$145</f>
        <v>-98901.454932407913</v>
      </c>
      <c r="Q84" s="5"/>
      <c r="R84" s="1">
        <f>R17+R$145</f>
        <v>-98880.667683940526</v>
      </c>
      <c r="S84" s="1"/>
      <c r="T84" s="1">
        <f>T17+T$145</f>
        <v>-98845.80677625275</v>
      </c>
      <c r="U84" s="5"/>
      <c r="V84" s="1">
        <f>V17+V$145</f>
        <v>-98828.802711819721</v>
      </c>
      <c r="W84" s="1"/>
      <c r="X84" s="1">
        <f>X17+X$145</f>
        <v>-98860.359780161365</v>
      </c>
      <c r="Y84" s="5"/>
      <c r="Z84" s="1">
        <f>Z17+Z$145</f>
        <v>-98842.805553791157</v>
      </c>
      <c r="AB84" s="159"/>
      <c r="AC84" s="5"/>
      <c r="AD84" s="1"/>
    </row>
    <row r="85" spans="5:30" x14ac:dyDescent="0.25">
      <c r="F85" s="131" t="s">
        <v>30</v>
      </c>
      <c r="H85" s="1">
        <f>H18+H$145</f>
        <v>1229.1335313107741</v>
      </c>
      <c r="I85" s="5"/>
      <c r="J85" s="1">
        <f>J18+J$145</f>
        <v>1263.7873115853697</v>
      </c>
      <c r="K85" s="1"/>
      <c r="L85" s="1">
        <f>L18+L$145</f>
        <v>-98786.88304439433</v>
      </c>
      <c r="M85" s="5"/>
      <c r="N85" s="1">
        <f>N18+N$145</f>
        <v>-98786.88304439433</v>
      </c>
      <c r="O85" s="1"/>
      <c r="P85" s="1">
        <f>P18+P$145</f>
        <v>-98854.168555825017</v>
      </c>
      <c r="Q85" s="5"/>
      <c r="R85" s="1">
        <f>R18+R$145</f>
        <v>-98834.315492558453</v>
      </c>
      <c r="S85" s="1"/>
      <c r="T85" s="1">
        <f>T18+T$145</f>
        <v>-98807.290253128565</v>
      </c>
      <c r="U85" s="5"/>
      <c r="V85" s="1">
        <f>V18+V$145</f>
        <v>-98790.758703440195</v>
      </c>
      <c r="W85" s="1"/>
      <c r="X85" s="1">
        <f>X18+X$145</f>
        <v>-98813.073403578455</v>
      </c>
      <c r="Y85" s="5"/>
      <c r="Z85" s="1">
        <f>Z18+Z$145</f>
        <v>-98796.058572830341</v>
      </c>
      <c r="AB85" s="159"/>
      <c r="AC85" s="5"/>
      <c r="AD85" s="1"/>
    </row>
    <row r="86" spans="5:30" x14ac:dyDescent="0.25">
      <c r="F86" s="131" t="s">
        <v>22</v>
      </c>
      <c r="H86" s="1">
        <f>H19+H$145</f>
        <v>1229.1335313107741</v>
      </c>
      <c r="I86" s="5"/>
      <c r="J86" s="1">
        <f>J19+J$145</f>
        <v>1263.7873115853697</v>
      </c>
      <c r="K86" s="1"/>
      <c r="L86" s="1">
        <f>L19+L$145</f>
        <v>-98786.88304439433</v>
      </c>
      <c r="M86" s="5"/>
      <c r="N86" s="1">
        <f>N19+N$145</f>
        <v>-98786.88304439433</v>
      </c>
      <c r="O86" s="1"/>
      <c r="P86" s="1">
        <f>P19+P$145</f>
        <v>-98854.168555825017</v>
      </c>
      <c r="Q86" s="5"/>
      <c r="R86" s="1">
        <f>R19+R$145</f>
        <v>-98834.315492558453</v>
      </c>
      <c r="S86" s="1"/>
      <c r="T86" s="1">
        <f>T19+T$145</f>
        <v>-98807.290253128565</v>
      </c>
      <c r="U86" s="5"/>
      <c r="V86" s="1">
        <f>V19+V$145</f>
        <v>-98790.758703440195</v>
      </c>
      <c r="W86" s="1"/>
      <c r="X86" s="1">
        <f>X19+X$145</f>
        <v>-98813.073403578455</v>
      </c>
      <c r="Y86" s="5"/>
      <c r="Z86" s="1">
        <f>Z19+Z$145</f>
        <v>-98796.058572830341</v>
      </c>
      <c r="AB86" s="159"/>
      <c r="AC86" s="5"/>
      <c r="AD86" s="1"/>
    </row>
    <row r="87" spans="5:30" x14ac:dyDescent="0.25">
      <c r="F87" s="131" t="s">
        <v>58</v>
      </c>
      <c r="H87" s="1">
        <f>H23+H$146</f>
        <v>330</v>
      </c>
      <c r="I87" s="5"/>
      <c r="J87" s="1">
        <f>J23+J$146</f>
        <v>334.74635471206216</v>
      </c>
      <c r="K87" s="1"/>
      <c r="L87" s="1">
        <f>L23+L$146</f>
        <v>-99737</v>
      </c>
      <c r="M87" s="5"/>
      <c r="N87" s="1">
        <f>N23+N$146</f>
        <v>-99737</v>
      </c>
      <c r="O87" s="1"/>
      <c r="P87" s="1">
        <f>P23+P$146</f>
        <v>-99638</v>
      </c>
      <c r="Q87" s="5"/>
      <c r="R87" s="1">
        <f>R23+R$146</f>
        <v>-99631.739667102607</v>
      </c>
      <c r="S87" s="1"/>
      <c r="T87" s="1">
        <f>T23+T$146</f>
        <v>-99611</v>
      </c>
      <c r="U87" s="5"/>
      <c r="V87" s="1">
        <f>V23+V$146</f>
        <v>-99613.589177676302</v>
      </c>
      <c r="W87" s="1"/>
      <c r="X87" s="1">
        <f>X23+X$146</f>
        <v>-99637.5</v>
      </c>
      <c r="Y87" s="5"/>
      <c r="Z87" s="1">
        <f>Z23+Z$146</f>
        <v>-99640.424881810439</v>
      </c>
      <c r="AB87" s="159"/>
      <c r="AC87" s="5"/>
      <c r="AD87" s="1"/>
    </row>
    <row r="88" spans="5:30" x14ac:dyDescent="0.25">
      <c r="F88" s="131" t="s">
        <v>57</v>
      </c>
      <c r="H88" s="1">
        <f>H24+H$145</f>
        <v>382.03924839897201</v>
      </c>
      <c r="I88" s="5"/>
      <c r="J88" s="1">
        <f>J24+J$145</f>
        <v>387.99439466597602</v>
      </c>
      <c r="K88" s="1"/>
      <c r="L88" s="1">
        <f>L24+L$145</f>
        <v>-99641.117780265136</v>
      </c>
      <c r="M88" s="5"/>
      <c r="N88" s="1">
        <f>N24+N$145</f>
        <v>-99641.117780265136</v>
      </c>
      <c r="O88" s="1"/>
      <c r="P88" s="1">
        <f>P24+P$145</f>
        <v>-99684.661582522851</v>
      </c>
      <c r="Q88" s="5"/>
      <c r="R88" s="1">
        <f>R24+R$145</f>
        <v>-99691.995706602494</v>
      </c>
      <c r="S88" s="1"/>
      <c r="T88" s="1">
        <f>T24+T$145</f>
        <v>-99658.510099148218</v>
      </c>
      <c r="U88" s="5"/>
      <c r="V88" s="1">
        <f>V24+V$145</f>
        <v>-99655.583059686527</v>
      </c>
      <c r="W88" s="1"/>
      <c r="X88" s="1">
        <f>X24+X$145</f>
        <v>-99616.168055075817</v>
      </c>
      <c r="Y88" s="5"/>
      <c r="Z88" s="1">
        <f>Z24+Z$145</f>
        <v>-99613.426661132398</v>
      </c>
      <c r="AB88" s="159"/>
      <c r="AC88" s="5"/>
      <c r="AD88" s="1"/>
    </row>
    <row r="89" spans="5:30" x14ac:dyDescent="0.25">
      <c r="F89" s="131" t="s">
        <v>108</v>
      </c>
      <c r="H89" s="1">
        <f>H25+H$145</f>
        <v>3</v>
      </c>
      <c r="I89" s="5"/>
      <c r="J89" s="1">
        <f>J25+J$145</f>
        <v>0</v>
      </c>
      <c r="K89" s="1"/>
      <c r="L89" s="1">
        <f>L25+L$145</f>
        <v>-99997</v>
      </c>
      <c r="M89" s="5"/>
      <c r="N89" s="1">
        <f>N25+N$145</f>
        <v>-100000</v>
      </c>
      <c r="O89" s="1"/>
      <c r="P89" s="1">
        <f>P25+P$145</f>
        <v>-99997</v>
      </c>
      <c r="Q89" s="5"/>
      <c r="R89" s="1">
        <f>R25+R$145</f>
        <v>-100000</v>
      </c>
      <c r="S89" s="1"/>
      <c r="T89" s="1">
        <f>T25+T$145</f>
        <v>-99997</v>
      </c>
      <c r="U89" s="5"/>
      <c r="V89" s="1">
        <f>V25+V$145</f>
        <v>-100000</v>
      </c>
      <c r="W89" s="1"/>
      <c r="X89" s="1">
        <f>X25+X$145</f>
        <v>-99997</v>
      </c>
      <c r="Y89" s="5"/>
      <c r="Z89" s="1">
        <f>Z25+Z$145</f>
        <v>-100000</v>
      </c>
      <c r="AB89" s="159"/>
      <c r="AC89" s="5"/>
      <c r="AD89" s="1"/>
    </row>
    <row r="90" spans="5:30" x14ac:dyDescent="0.25">
      <c r="F90" s="131" t="s">
        <v>61</v>
      </c>
      <c r="H90" s="1">
        <f>H26+H$145</f>
        <v>436.48059521586981</v>
      </c>
      <c r="I90" s="5"/>
      <c r="J90" s="1">
        <f>J26+J$145</f>
        <v>444.35576658920263</v>
      </c>
      <c r="K90" s="1"/>
      <c r="L90" s="1">
        <f>L26+L$145</f>
        <v>-99575.548589353275</v>
      </c>
      <c r="M90" s="5"/>
      <c r="N90" s="1">
        <f>N26+N$145</f>
        <v>-99575.548589353275</v>
      </c>
      <c r="O90" s="1"/>
      <c r="P90" s="1">
        <f>P26+P$145</f>
        <v>-99588.660723975932</v>
      </c>
      <c r="Q90" s="5"/>
      <c r="R90" s="1">
        <f>R26+R$145</f>
        <v>-99590.41457376664</v>
      </c>
      <c r="S90" s="1"/>
      <c r="T90" s="1">
        <f>T26+T$145</f>
        <v>-99566.410332226427</v>
      </c>
      <c r="U90" s="5"/>
      <c r="V90" s="1">
        <f>V26+V$145</f>
        <v>-99565.172868210837</v>
      </c>
      <c r="W90" s="1"/>
      <c r="X90" s="1">
        <f>X26+X$145</f>
        <v>-99530.140712553213</v>
      </c>
      <c r="Y90" s="5"/>
      <c r="Z90" s="1">
        <f>Z26+Z$145</f>
        <v>-99529.412155937083</v>
      </c>
      <c r="AB90" s="159"/>
      <c r="AC90" s="5"/>
      <c r="AD90" s="1"/>
    </row>
    <row r="91" spans="5:30" x14ac:dyDescent="0.25">
      <c r="F91" s="131" t="s">
        <v>62</v>
      </c>
      <c r="H91" s="1">
        <f>H27+H$146</f>
        <v>171.89084837904329</v>
      </c>
      <c r="I91" s="5"/>
      <c r="J91" s="1">
        <f>J27+J$146</f>
        <v>177.31141632649238</v>
      </c>
      <c r="K91" s="1"/>
      <c r="L91" s="1">
        <f>L27+L$146</f>
        <v>-99973.434864191877</v>
      </c>
      <c r="M91" s="5"/>
      <c r="N91" s="1">
        <f>N27+N$146</f>
        <v>-99973.434864191877</v>
      </c>
      <c r="O91" s="1"/>
      <c r="P91" s="1">
        <f>P27+P$146</f>
        <v>-99916.806737658175</v>
      </c>
      <c r="Q91" s="5"/>
      <c r="R91" s="1">
        <f>R27+R$146</f>
        <v>-99908.562056473718</v>
      </c>
      <c r="S91" s="1"/>
      <c r="T91" s="1">
        <f>T27+T$146</f>
        <v>-99834.450783605105</v>
      </c>
      <c r="U91" s="5"/>
      <c r="V91" s="1">
        <f>V27+V$146</f>
        <v>-99837.728904271367</v>
      </c>
      <c r="W91" s="1"/>
      <c r="X91" s="1">
        <f>X27+X$146</f>
        <v>-99902.264935828731</v>
      </c>
      <c r="Y91" s="5"/>
      <c r="Z91" s="1">
        <f>Z27+Z$146</f>
        <v>-99905.835389934524</v>
      </c>
      <c r="AB91" s="159"/>
      <c r="AC91" s="5"/>
      <c r="AD91" s="1"/>
    </row>
    <row r="92" spans="5:30" x14ac:dyDescent="0.25">
      <c r="F92" s="131" t="s">
        <v>37</v>
      </c>
      <c r="H92" s="1">
        <f>H28+H$146</f>
        <v>391.81679423807486</v>
      </c>
      <c r="I92" s="5"/>
      <c r="J92" s="1">
        <f>J28+J$146</f>
        <v>396.29954813755143</v>
      </c>
      <c r="K92" s="1"/>
      <c r="L92" s="1">
        <f>L28+L$146</f>
        <v>-99654.645171055934</v>
      </c>
      <c r="M92" s="5"/>
      <c r="N92" s="1">
        <f>N28+N$146</f>
        <v>-99654.645171055934</v>
      </c>
      <c r="O92" s="1"/>
      <c r="P92" s="1">
        <f>P28+P$146</f>
        <v>-99645.519526219519</v>
      </c>
      <c r="Q92" s="5"/>
      <c r="R92" s="1">
        <f>R28+R$146</f>
        <v>-99639.205674676559</v>
      </c>
      <c r="S92" s="1"/>
      <c r="T92" s="1">
        <f>T28+T$146</f>
        <v>-99582.746759879199</v>
      </c>
      <c r="U92" s="5"/>
      <c r="V92" s="1">
        <f>V28+V$146</f>
        <v>-99585.248827224495</v>
      </c>
      <c r="W92" s="1"/>
      <c r="X92" s="1">
        <f>X28+X$146</f>
        <v>-99555.226742858475</v>
      </c>
      <c r="Y92" s="5"/>
      <c r="Z92" s="1">
        <f>Z28+Z$146</f>
        <v>-99557.951019043801</v>
      </c>
      <c r="AB92" s="159"/>
      <c r="AC92" s="5"/>
      <c r="AD92" s="1"/>
    </row>
    <row r="93" spans="5:30" x14ac:dyDescent="0.25">
      <c r="F93" s="131" t="s">
        <v>12</v>
      </c>
      <c r="H93" s="1">
        <f>H29+H$145</f>
        <v>360.75401917775736</v>
      </c>
      <c r="I93" s="5"/>
      <c r="J93" s="1">
        <f>J29+J$145</f>
        <v>365.95848279475007</v>
      </c>
      <c r="K93" s="1"/>
      <c r="L93" s="1">
        <f>L29+L$145</f>
        <v>-99663.956795653168</v>
      </c>
      <c r="M93" s="5"/>
      <c r="N93" s="1">
        <f>N29+N$145</f>
        <v>-99663.956795653168</v>
      </c>
      <c r="O93" s="1"/>
      <c r="P93" s="1">
        <f>P29+P$145</f>
        <v>-99682.072402006626</v>
      </c>
      <c r="Q93" s="5"/>
      <c r="R93" s="1">
        <f>R29+R$145</f>
        <v>-99689.256023916983</v>
      </c>
      <c r="S93" s="1"/>
      <c r="T93" s="1">
        <f>T29+T$145</f>
        <v>-99670.155244391965</v>
      </c>
      <c r="U93" s="5"/>
      <c r="V93" s="1">
        <f>V29+V$145</f>
        <v>-99667.014574080516</v>
      </c>
      <c r="W93" s="1"/>
      <c r="X93" s="1">
        <f>X29+X$145</f>
        <v>-99642.900256794324</v>
      </c>
      <c r="Y93" s="5"/>
      <c r="Z93" s="1">
        <f>Z29+Z$145</f>
        <v>-99639.533392251891</v>
      </c>
      <c r="AB93" s="159"/>
      <c r="AC93" s="5"/>
      <c r="AD93" s="1"/>
    </row>
    <row r="94" spans="5:30" x14ac:dyDescent="0.25">
      <c r="E94" s="39"/>
      <c r="F94" s="131" t="s">
        <v>59</v>
      </c>
      <c r="H94" s="1">
        <f>H30+H$149</f>
        <v>874.26015134353804</v>
      </c>
      <c r="I94" s="5"/>
      <c r="J94" s="1">
        <f>J30+J$149</f>
        <v>866.65750713656769</v>
      </c>
      <c r="K94" s="1"/>
      <c r="L94" s="1">
        <f>L30+L$149</f>
        <v>-99121.608083299419</v>
      </c>
      <c r="M94" s="5"/>
      <c r="N94" s="1">
        <f>N30+N$149</f>
        <v>-99121.608083299419</v>
      </c>
      <c r="O94" s="1"/>
      <c r="P94" s="1">
        <f>P30+P$149</f>
        <v>-99155.51802067965</v>
      </c>
      <c r="Q94" s="5"/>
      <c r="R94" s="1">
        <f>R30+R$149</f>
        <v>-99171.900539787312</v>
      </c>
      <c r="S94" s="1"/>
      <c r="T94" s="1">
        <f>T30+T$149</f>
        <v>-99120.759044052364</v>
      </c>
      <c r="U94" s="5"/>
      <c r="V94" s="1">
        <f>V30+V$149</f>
        <v>-99120.977446186633</v>
      </c>
      <c r="W94" s="1"/>
      <c r="X94" s="1">
        <f>X30+X$149</f>
        <v>-99136.493288377926</v>
      </c>
      <c r="Y94" s="5"/>
      <c r="Z94" s="1">
        <f>Z30+Z$149</f>
        <v>-99137.532972765606</v>
      </c>
      <c r="AB94" s="159"/>
      <c r="AC94" s="5"/>
      <c r="AD94" s="1"/>
    </row>
    <row r="95" spans="5:30" x14ac:dyDescent="0.25">
      <c r="E95" s="39"/>
      <c r="F95" s="131" t="s">
        <v>60</v>
      </c>
      <c r="H95" s="1">
        <f>H31+H$150</f>
        <v>641.80341137399444</v>
      </c>
      <c r="I95" s="5"/>
      <c r="J95" s="1">
        <f>J31+J$150</f>
        <v>658.84177153104645</v>
      </c>
      <c r="K95" s="1"/>
      <c r="L95" s="1">
        <f>L31+L$150</f>
        <v>-99381.560304092607</v>
      </c>
      <c r="M95" s="5"/>
      <c r="N95" s="1">
        <f>N31+N$150</f>
        <v>-99381.560304092607</v>
      </c>
      <c r="O95" s="1"/>
      <c r="P95" s="1">
        <f>P31+P$150</f>
        <v>-99390.2767265445</v>
      </c>
      <c r="Q95" s="5"/>
      <c r="R95" s="1">
        <f>R31+R$150</f>
        <v>-99375.151589451067</v>
      </c>
      <c r="S95" s="1"/>
      <c r="T95" s="1">
        <f>T31+T$150</f>
        <v>-99384.400536950212</v>
      </c>
      <c r="U95" s="5"/>
      <c r="V95" s="1">
        <f>V31+V$150</f>
        <v>-99393.144634223368</v>
      </c>
      <c r="W95" s="1"/>
      <c r="X95" s="1">
        <f>X31+X$150</f>
        <v>-99335.650520289695</v>
      </c>
      <c r="Y95" s="5"/>
      <c r="Z95" s="1">
        <f>Z31+Z$150</f>
        <v>-99344.658322004179</v>
      </c>
      <c r="AB95" s="159"/>
      <c r="AC95" s="5"/>
      <c r="AD95" s="1"/>
    </row>
    <row r="96" spans="5:30" x14ac:dyDescent="0.25">
      <c r="E96" s="39"/>
      <c r="F96" s="131" t="s">
        <v>313</v>
      </c>
      <c r="H96" s="1">
        <f>0+H$151</f>
        <v>0</v>
      </c>
      <c r="I96" s="5"/>
      <c r="J96" s="1">
        <f>0+J$151</f>
        <v>0</v>
      </c>
      <c r="K96" s="1"/>
      <c r="L96" s="1">
        <f>0+L$151</f>
        <v>-100000</v>
      </c>
      <c r="M96" s="5"/>
      <c r="N96" s="1">
        <f>0+N$151</f>
        <v>-100000</v>
      </c>
      <c r="O96" s="1"/>
      <c r="P96" s="1">
        <f>0+P$151</f>
        <v>-100000</v>
      </c>
      <c r="Q96" s="5"/>
      <c r="R96" s="1">
        <f>0+R$151</f>
        <v>-100000</v>
      </c>
      <c r="S96" s="1"/>
      <c r="T96" s="1">
        <f>0+T$151</f>
        <v>-100000</v>
      </c>
      <c r="U96" s="5"/>
      <c r="V96" s="1">
        <f>0+V$151</f>
        <v>-100000</v>
      </c>
      <c r="W96" s="1"/>
      <c r="X96" s="1">
        <f>0+X$151</f>
        <v>-100000</v>
      </c>
      <c r="Y96" s="5"/>
      <c r="Z96" s="1">
        <f>0+Z$151</f>
        <v>-100000</v>
      </c>
      <c r="AB96" s="159"/>
      <c r="AC96" s="5"/>
      <c r="AD96" s="1"/>
    </row>
    <row r="97" spans="5:30" x14ac:dyDescent="0.25">
      <c r="E97" s="39"/>
      <c r="F97" s="131" t="s">
        <v>8</v>
      </c>
      <c r="H97" s="1">
        <f>H32+H$149</f>
        <v>910.36356271753243</v>
      </c>
      <c r="I97" s="5"/>
      <c r="J97" s="1">
        <f>J32+J$149</f>
        <v>901.91054944379869</v>
      </c>
      <c r="K97" s="1"/>
      <c r="L97" s="1">
        <f>L32+L$149</f>
        <v>-99085.355771817951</v>
      </c>
      <c r="M97" s="5"/>
      <c r="N97" s="1">
        <f>N32+N$149</f>
        <v>-99085.355771817951</v>
      </c>
      <c r="O97" s="1"/>
      <c r="P97" s="1">
        <f>P32+P$149</f>
        <v>-99113.79474722415</v>
      </c>
      <c r="Q97" s="5"/>
      <c r="R97" s="1">
        <f>R32+R$149</f>
        <v>-99131.001547391366</v>
      </c>
      <c r="S97" s="1"/>
      <c r="T97" s="1">
        <f>T32+T$149</f>
        <v>-99084.076641076957</v>
      </c>
      <c r="U97" s="5"/>
      <c r="V97" s="1">
        <f>V32+V$149</f>
        <v>-99084.745057253764</v>
      </c>
      <c r="W97" s="1"/>
      <c r="X97" s="1">
        <f>X32+X$149</f>
        <v>-99091.177899026094</v>
      </c>
      <c r="Y97" s="5"/>
      <c r="Z97" s="1">
        <f>Z32+Z$149</f>
        <v>-99092.811573558545</v>
      </c>
      <c r="AB97" s="159"/>
      <c r="AC97" s="5"/>
      <c r="AD97" s="1"/>
    </row>
    <row r="98" spans="5:30" x14ac:dyDescent="0.25">
      <c r="E98" s="39"/>
      <c r="F98" s="131" t="s">
        <v>10</v>
      </c>
      <c r="H98" s="1">
        <f>H33+H$150</f>
        <v>659.02385524632621</v>
      </c>
      <c r="I98" s="5"/>
      <c r="J98" s="1">
        <f>J33+J$150</f>
        <v>677.74211565713506</v>
      </c>
      <c r="K98" s="1"/>
      <c r="L98" s="1">
        <f>L33+L$150</f>
        <v>-99364.655573622978</v>
      </c>
      <c r="M98" s="5"/>
      <c r="N98" s="1">
        <f>N33+N$150</f>
        <v>-99364.655573622978</v>
      </c>
      <c r="O98" s="1"/>
      <c r="P98" s="1">
        <f>P33+P$150</f>
        <v>-99373.419429840782</v>
      </c>
      <c r="Q98" s="5"/>
      <c r="R98" s="1">
        <f>R33+R$150</f>
        <v>-99356.382667771963</v>
      </c>
      <c r="S98" s="1"/>
      <c r="T98" s="1">
        <f>T33+T$150</f>
        <v>-99368.450574193193</v>
      </c>
      <c r="U98" s="5"/>
      <c r="V98" s="1">
        <f>V33+V$150</f>
        <v>-99376.197245273535</v>
      </c>
      <c r="W98" s="1"/>
      <c r="X98" s="1">
        <f>X33+X$150</f>
        <v>-99314.519607202659</v>
      </c>
      <c r="Y98" s="5"/>
      <c r="Z98" s="1">
        <f>Z33+Z$150</f>
        <v>-99322.29772154348</v>
      </c>
      <c r="AB98" s="159"/>
      <c r="AC98" s="5"/>
      <c r="AD98" s="1"/>
    </row>
    <row r="99" spans="5:30" x14ac:dyDescent="0.25">
      <c r="E99" s="39"/>
      <c r="F99" s="131" t="s">
        <v>314</v>
      </c>
      <c r="H99" s="1">
        <f>0+H$151</f>
        <v>0</v>
      </c>
      <c r="I99" s="5"/>
      <c r="J99" s="1">
        <f>0+J$151</f>
        <v>0</v>
      </c>
      <c r="K99" s="1"/>
      <c r="L99" s="1">
        <f>0+L$151</f>
        <v>-100000</v>
      </c>
      <c r="M99" s="5"/>
      <c r="N99" s="1">
        <f>0+N$151</f>
        <v>-100000</v>
      </c>
      <c r="O99" s="1"/>
      <c r="P99" s="1">
        <f>0+P$151</f>
        <v>-100000</v>
      </c>
      <c r="Q99" s="5"/>
      <c r="R99" s="1">
        <f>0+R$151</f>
        <v>-100000</v>
      </c>
      <c r="S99" s="1"/>
      <c r="T99" s="1">
        <f>0+T$151</f>
        <v>-100000</v>
      </c>
      <c r="U99" s="5"/>
      <c r="V99" s="1">
        <f>0+V$151</f>
        <v>-100000</v>
      </c>
      <c r="W99" s="1"/>
      <c r="X99" s="1">
        <f>0+X$151</f>
        <v>-100000</v>
      </c>
      <c r="Y99" s="5"/>
      <c r="Z99" s="1">
        <f>0+Z$151</f>
        <v>-100000</v>
      </c>
      <c r="AB99" s="159"/>
      <c r="AC99" s="5"/>
      <c r="AD99" s="1"/>
    </row>
    <row r="100" spans="5:30" x14ac:dyDescent="0.25">
      <c r="E100" s="39"/>
      <c r="F100" s="131" t="s">
        <v>109</v>
      </c>
      <c r="H100" s="1">
        <f>H34+H$149</f>
        <v>905.18718181548206</v>
      </c>
      <c r="I100" s="5"/>
      <c r="J100" s="1">
        <f>J34+J$149</f>
        <v>896.063115349344</v>
      </c>
      <c r="K100" s="1"/>
      <c r="L100" s="1">
        <f>L34+L$149</f>
        <v>-99085.355771817951</v>
      </c>
      <c r="M100" s="5"/>
      <c r="N100" s="1">
        <f>N34+N$149</f>
        <v>-99085.355771817951</v>
      </c>
      <c r="O100" s="1"/>
      <c r="P100" s="1">
        <f>P34+P$149</f>
        <v>-99113.79474722415</v>
      </c>
      <c r="Q100" s="5"/>
      <c r="R100" s="1">
        <f>R34+R$149</f>
        <v>-99131.001547391366</v>
      </c>
      <c r="S100" s="1"/>
      <c r="T100" s="1">
        <f>T34+T$149</f>
        <v>-99084.076641076957</v>
      </c>
      <c r="U100" s="5"/>
      <c r="V100" s="1">
        <f>V34+V$149</f>
        <v>-99084.745057253764</v>
      </c>
      <c r="W100" s="1"/>
      <c r="X100" s="1">
        <f>X34+X$149</f>
        <v>-99091.177899026094</v>
      </c>
      <c r="Y100" s="5"/>
      <c r="Z100" s="1">
        <f>Z34+Z$149</f>
        <v>-99092.811573558545</v>
      </c>
      <c r="AB100" s="159"/>
      <c r="AC100" s="5"/>
      <c r="AD100" s="1"/>
    </row>
    <row r="101" spans="5:30" x14ac:dyDescent="0.25">
      <c r="E101" s="39"/>
      <c r="F101" s="131" t="s">
        <v>110</v>
      </c>
      <c r="H101" s="1">
        <f>H35+H$150</f>
        <v>678.34237177210753</v>
      </c>
      <c r="I101" s="5"/>
      <c r="J101" s="1">
        <f>J35+J$150</f>
        <v>696.86821077639581</v>
      </c>
      <c r="K101" s="1"/>
      <c r="L101" s="1">
        <f>L35+L$150</f>
        <v>-99339.655573622978</v>
      </c>
      <c r="M101" s="5"/>
      <c r="N101" s="1">
        <f>N35+N$150</f>
        <v>-99339.655573622978</v>
      </c>
      <c r="O101" s="1"/>
      <c r="P101" s="1">
        <f>P35+P$150</f>
        <v>-99361.419429840782</v>
      </c>
      <c r="Q101" s="5"/>
      <c r="R101" s="1">
        <f>R35+R$150</f>
        <v>-99344.382667771963</v>
      </c>
      <c r="S101" s="1"/>
      <c r="T101" s="1">
        <f>T35+T$150</f>
        <v>-99348.450574193193</v>
      </c>
      <c r="U101" s="5"/>
      <c r="V101" s="1">
        <f>V35+V$150</f>
        <v>-99356.197245273535</v>
      </c>
      <c r="W101" s="1"/>
      <c r="X101" s="1">
        <f>X35+X$150</f>
        <v>-99302.519607202659</v>
      </c>
      <c r="Y101" s="5"/>
      <c r="Z101" s="1">
        <f>Z35+Z$150</f>
        <v>-99310.29772154348</v>
      </c>
      <c r="AB101" s="159"/>
      <c r="AC101" s="5"/>
      <c r="AD101" s="1"/>
    </row>
    <row r="102" spans="5:30" x14ac:dyDescent="0.25">
      <c r="E102" s="39"/>
      <c r="F102" s="131" t="s">
        <v>310</v>
      </c>
      <c r="H102" s="1">
        <f>H36+H$151</f>
        <v>103.78005606442667</v>
      </c>
      <c r="I102" s="5"/>
      <c r="J102" s="1">
        <f>J36+J$151</f>
        <v>103.78005606442667</v>
      </c>
      <c r="K102" s="1"/>
      <c r="L102" s="1">
        <f>L36+L$151</f>
        <v>-99848.246643325241</v>
      </c>
      <c r="M102" s="5"/>
      <c r="N102" s="1">
        <f>N36+N$151</f>
        <v>-99848.246643325241</v>
      </c>
      <c r="O102" s="1"/>
      <c r="P102" s="1">
        <f>P36+P$151</f>
        <v>-99845.746643325241</v>
      </c>
      <c r="Q102" s="5"/>
      <c r="R102" s="1">
        <f>R36+R$151</f>
        <v>-99845.746643325241</v>
      </c>
      <c r="S102" s="1"/>
      <c r="T102" s="1">
        <f>T36+T$151</f>
        <v>-99846.062822625638</v>
      </c>
      <c r="U102" s="5"/>
      <c r="V102" s="1">
        <f>V36+V$151</f>
        <v>-99846.062822625638</v>
      </c>
      <c r="W102" s="1"/>
      <c r="X102" s="1">
        <f>X36+X$151</f>
        <v>-99848.746643325241</v>
      </c>
      <c r="Y102" s="5"/>
      <c r="Z102" s="1">
        <f>Z36+Z$151</f>
        <v>-99848.746643325241</v>
      </c>
      <c r="AB102" s="159"/>
      <c r="AC102" s="5"/>
      <c r="AD102" s="1"/>
    </row>
    <row r="103" spans="5:30" x14ac:dyDescent="0.25">
      <c r="E103" s="39"/>
      <c r="F103" s="131" t="s">
        <v>309</v>
      </c>
      <c r="H103" s="1">
        <f>H37+H$151</f>
        <v>-103.78005606442667</v>
      </c>
      <c r="I103" s="5"/>
      <c r="J103" s="1">
        <f>J37+J$151</f>
        <v>-103.78005606442667</v>
      </c>
      <c r="K103" s="1"/>
      <c r="L103" s="1">
        <f>L37+L$151</f>
        <v>-100151.75335667476</v>
      </c>
      <c r="M103" s="5"/>
      <c r="N103" s="1">
        <f>N37+N$151</f>
        <v>-100151.75335667476</v>
      </c>
      <c r="O103" s="1"/>
      <c r="P103" s="1">
        <f>P37+P$151</f>
        <v>-100154.25335667476</v>
      </c>
      <c r="Q103" s="5"/>
      <c r="R103" s="1">
        <f>R37+R$151</f>
        <v>-100154.25335667476</v>
      </c>
      <c r="S103" s="1"/>
      <c r="T103" s="1">
        <f>T37+T$151</f>
        <v>-100153.93717737436</v>
      </c>
      <c r="U103" s="5"/>
      <c r="V103" s="1">
        <f>V37+V$151</f>
        <v>-100153.93717737436</v>
      </c>
      <c r="W103" s="1"/>
      <c r="X103" s="1">
        <f>X37+X$151</f>
        <v>-100151.25335667476</v>
      </c>
      <c r="Y103" s="5"/>
      <c r="Z103" s="1">
        <f>Z37+Z$151</f>
        <v>-100151.25335667476</v>
      </c>
      <c r="AB103" s="159"/>
      <c r="AC103" s="5"/>
      <c r="AD103" s="1"/>
    </row>
    <row r="104" spans="5:30" x14ac:dyDescent="0.25">
      <c r="F104" s="131" t="s">
        <v>111</v>
      </c>
      <c r="H104" s="1"/>
      <c r="I104" s="5"/>
      <c r="J104" s="1"/>
      <c r="K104" s="1"/>
      <c r="L104" s="1"/>
      <c r="M104" s="5"/>
      <c r="N104" s="1"/>
      <c r="O104" s="1"/>
      <c r="P104" s="1"/>
      <c r="Q104" s="5"/>
      <c r="R104" s="1"/>
      <c r="S104" s="1"/>
      <c r="T104" s="1"/>
      <c r="U104" s="5"/>
      <c r="V104" s="1"/>
      <c r="W104" s="1"/>
      <c r="X104" s="1"/>
      <c r="Y104" s="5"/>
      <c r="Z104" s="1"/>
      <c r="AB104" s="159"/>
      <c r="AC104" s="5"/>
      <c r="AD104" s="1"/>
    </row>
    <row r="105" spans="5:30" x14ac:dyDescent="0.25">
      <c r="F105" s="131" t="s">
        <v>112</v>
      </c>
      <c r="H105" s="1"/>
      <c r="I105" s="5"/>
      <c r="J105" s="1"/>
      <c r="K105" s="1"/>
      <c r="L105" s="1"/>
      <c r="M105" s="5"/>
      <c r="N105" s="1"/>
      <c r="O105" s="1"/>
      <c r="P105" s="1"/>
      <c r="Q105" s="5"/>
      <c r="R105" s="1"/>
      <c r="S105" s="1"/>
      <c r="T105" s="1"/>
      <c r="U105" s="5"/>
      <c r="V105" s="1"/>
      <c r="W105" s="1"/>
      <c r="X105" s="1"/>
      <c r="Y105" s="5"/>
      <c r="Z105" s="1"/>
      <c r="AB105" s="159"/>
      <c r="AC105" s="5"/>
      <c r="AD105" s="1"/>
    </row>
    <row r="106" spans="5:30" x14ac:dyDescent="0.25">
      <c r="E106" s="39"/>
      <c r="F106" s="131" t="s">
        <v>113</v>
      </c>
      <c r="H106" s="1">
        <f>H40+H$149</f>
        <v>871.5446464829738</v>
      </c>
      <c r="I106" s="5"/>
      <c r="J106" s="1">
        <f>J40+J$149</f>
        <v>862.07864228486369</v>
      </c>
      <c r="K106" s="1"/>
      <c r="L106" s="1">
        <f>L40+L$149</f>
        <v>-99112.270679434339</v>
      </c>
      <c r="M106" s="5"/>
      <c r="N106" s="1">
        <f>N40+N$149</f>
        <v>-99112.270679434339</v>
      </c>
      <c r="O106" s="1"/>
      <c r="P106" s="1">
        <f>P40+P$149</f>
        <v>-99140.709654840524</v>
      </c>
      <c r="Q106" s="5"/>
      <c r="R106" s="1">
        <f>R40+R$149</f>
        <v>-99157.91645500774</v>
      </c>
      <c r="S106" s="1"/>
      <c r="T106" s="1">
        <f>T40+T$149</f>
        <v>-99111.816015948556</v>
      </c>
      <c r="U106" s="5"/>
      <c r="V106" s="1">
        <f>V40+V$149</f>
        <v>-99112.484432125362</v>
      </c>
      <c r="W106" s="1"/>
      <c r="X106" s="1">
        <f>X40+X$149</f>
        <v>-99118.092806642468</v>
      </c>
      <c r="Y106" s="5"/>
      <c r="Z106" s="1">
        <f>Z40+Z$149</f>
        <v>-99119.726481174919</v>
      </c>
      <c r="AB106" s="159"/>
      <c r="AC106" s="5"/>
      <c r="AD106" s="1"/>
    </row>
    <row r="107" spans="5:30" x14ac:dyDescent="0.25">
      <c r="E107" s="39"/>
      <c r="F107" s="131" t="s">
        <v>114</v>
      </c>
      <c r="H107" s="1">
        <f>H41+H$150</f>
        <v>688.72738845573531</v>
      </c>
      <c r="I107" s="5"/>
      <c r="J107" s="1">
        <f>J41+J$150</f>
        <v>706.07279363755299</v>
      </c>
      <c r="K107" s="1"/>
      <c r="L107" s="1">
        <f>L41+L$150</f>
        <v>-99321.572149477681</v>
      </c>
      <c r="M107" s="5"/>
      <c r="N107" s="1">
        <f>N41+N$150</f>
        <v>-99321.572149477681</v>
      </c>
      <c r="O107" s="1"/>
      <c r="P107" s="1">
        <f>P41+P$150</f>
        <v>-99343.33600569547</v>
      </c>
      <c r="Q107" s="5"/>
      <c r="R107" s="1">
        <f>R41+R$150</f>
        <v>-99326.299243626665</v>
      </c>
      <c r="S107" s="1"/>
      <c r="T107" s="1">
        <f>T41+T$150</f>
        <v>-99332.936851984123</v>
      </c>
      <c r="U107" s="5"/>
      <c r="V107" s="1">
        <f>V41+V$150</f>
        <v>-99340.68352306445</v>
      </c>
      <c r="W107" s="1"/>
      <c r="X107" s="1">
        <f>X41+X$150</f>
        <v>-99284.436183057347</v>
      </c>
      <c r="Y107" s="5"/>
      <c r="Z107" s="1">
        <f>Z41+Z$150</f>
        <v>-99292.214297398183</v>
      </c>
      <c r="AB107" s="159"/>
      <c r="AC107" s="5"/>
      <c r="AD107" s="1"/>
    </row>
    <row r="108" spans="5:30" x14ac:dyDescent="0.25">
      <c r="E108" s="39"/>
      <c r="F108" s="131" t="s">
        <v>65</v>
      </c>
      <c r="H108" s="1">
        <f>H43+H$149</f>
        <v>436.48059521586981</v>
      </c>
      <c r="I108" s="5"/>
      <c r="J108" s="1">
        <f>J43+J$149</f>
        <v>446.70673786560144</v>
      </c>
      <c r="K108" s="1"/>
      <c r="L108" s="1">
        <f>L43+L$149</f>
        <v>-99575.548589353275</v>
      </c>
      <c r="M108" s="5"/>
      <c r="N108" s="1">
        <f>N43+N$149</f>
        <v>-99575.548589353275</v>
      </c>
      <c r="O108" s="1"/>
      <c r="P108" s="1">
        <f>P43+P$149</f>
        <v>-99588.660723975932</v>
      </c>
      <c r="Q108" s="5"/>
      <c r="R108" s="1">
        <f>R43+R$149</f>
        <v>-99587.639058602668</v>
      </c>
      <c r="S108" s="1"/>
      <c r="T108" s="1">
        <f>T43+T$149</f>
        <v>-99566.410332226427</v>
      </c>
      <c r="U108" s="5"/>
      <c r="V108" s="1">
        <f>V43+V$149</f>
        <v>-99566.686922668305</v>
      </c>
      <c r="W108" s="1"/>
      <c r="X108" s="1">
        <f>X43+X$149</f>
        <v>-99530.140712553213</v>
      </c>
      <c r="Y108" s="5"/>
      <c r="Z108" s="1">
        <f>Z43+Z$149</f>
        <v>-99530.241576642904</v>
      </c>
      <c r="AB108" s="159"/>
      <c r="AC108" s="5"/>
      <c r="AD108" s="1"/>
    </row>
    <row r="109" spans="5:30" x14ac:dyDescent="0.25">
      <c r="E109" s="39"/>
      <c r="F109" s="131" t="s">
        <v>66</v>
      </c>
      <c r="H109" s="1">
        <f>H44+H$150</f>
        <v>-191.3</v>
      </c>
      <c r="I109" s="5"/>
      <c r="J109" s="1">
        <f>J44+J$150</f>
        <v>-185.86512684444247</v>
      </c>
      <c r="K109" s="1"/>
      <c r="L109" s="1">
        <f>L44+L$150</f>
        <v>-100225</v>
      </c>
      <c r="M109" s="5"/>
      <c r="N109" s="1">
        <f>N44+N$150</f>
        <v>-100225</v>
      </c>
      <c r="O109" s="1"/>
      <c r="P109" s="1">
        <f>P44+P$150</f>
        <v>-100220</v>
      </c>
      <c r="Q109" s="5"/>
      <c r="R109" s="1">
        <f>R44+R$150</f>
        <v>-100211.72744386234</v>
      </c>
      <c r="S109" s="1"/>
      <c r="T109" s="1">
        <f>T44+T$150</f>
        <v>-100210</v>
      </c>
      <c r="U109" s="5"/>
      <c r="V109" s="1">
        <f>V44+V$150</f>
        <v>-100213.27240537701</v>
      </c>
      <c r="W109" s="1"/>
      <c r="X109" s="1">
        <f>X44+X$150</f>
        <v>-100186.5</v>
      </c>
      <c r="Y109" s="5"/>
      <c r="Z109" s="1">
        <f>Z44+Z$150</f>
        <v>-100190.06730516901</v>
      </c>
      <c r="AB109" s="159"/>
      <c r="AC109" s="5"/>
      <c r="AD109" s="1"/>
    </row>
    <row r="110" spans="5:30" x14ac:dyDescent="0.25">
      <c r="F110" s="131" t="s">
        <v>177</v>
      </c>
      <c r="H110" s="1">
        <f>H108+50</f>
        <v>486.48059521586981</v>
      </c>
      <c r="I110" s="5"/>
      <c r="J110" s="1">
        <f>J108+50</f>
        <v>496.70673786560144</v>
      </c>
      <c r="K110" s="1"/>
      <c r="L110" s="1">
        <f>L108+50</f>
        <v>-99525.548589353275</v>
      </c>
      <c r="M110" s="5"/>
      <c r="N110" s="1">
        <f>N108+50</f>
        <v>-99525.548589353275</v>
      </c>
      <c r="O110" s="1"/>
      <c r="P110" s="1">
        <f>P108+50</f>
        <v>-99538.660723975932</v>
      </c>
      <c r="Q110" s="5"/>
      <c r="R110" s="1">
        <f>R108+50</f>
        <v>-99537.639058602668</v>
      </c>
      <c r="S110" s="1"/>
      <c r="T110" s="1">
        <f>T108+50</f>
        <v>-99516.410332226427</v>
      </c>
      <c r="U110" s="5"/>
      <c r="V110" s="1">
        <f>V108+50</f>
        <v>-99516.686922668305</v>
      </c>
      <c r="W110" s="1"/>
      <c r="X110" s="1">
        <f>X108+50</f>
        <v>-99480.140712553213</v>
      </c>
      <c r="Y110" s="5"/>
      <c r="Z110" s="1">
        <f>Z108+50</f>
        <v>-99480.241576642904</v>
      </c>
      <c r="AB110" s="159"/>
      <c r="AC110" s="5"/>
      <c r="AD110" s="1"/>
    </row>
    <row r="111" spans="5:30" x14ac:dyDescent="0.25">
      <c r="F111" s="131" t="s">
        <v>178</v>
      </c>
      <c r="H111" s="1">
        <f>H109</f>
        <v>-191.3</v>
      </c>
      <c r="I111" s="5"/>
      <c r="J111" s="1">
        <f>J109</f>
        <v>-185.86512684444247</v>
      </c>
      <c r="K111" s="1"/>
      <c r="L111" s="1">
        <f>L109</f>
        <v>-100225</v>
      </c>
      <c r="M111" s="5"/>
      <c r="N111" s="1">
        <f>N109</f>
        <v>-100225</v>
      </c>
      <c r="O111" s="1"/>
      <c r="P111" s="1">
        <f>P109</f>
        <v>-100220</v>
      </c>
      <c r="Q111" s="5"/>
      <c r="R111" s="1">
        <f>R109</f>
        <v>-100211.72744386234</v>
      </c>
      <c r="S111" s="1"/>
      <c r="T111" s="1">
        <f>T109</f>
        <v>-100210</v>
      </c>
      <c r="U111" s="5"/>
      <c r="V111" s="1">
        <f>V109</f>
        <v>-100213.27240537701</v>
      </c>
      <c r="W111" s="1"/>
      <c r="X111" s="1">
        <f>X109</f>
        <v>-100186.5</v>
      </c>
      <c r="Y111" s="5"/>
      <c r="Z111" s="1">
        <f>Z109</f>
        <v>-100190.06730516901</v>
      </c>
      <c r="AB111" s="159"/>
      <c r="AC111" s="5"/>
      <c r="AD111" s="1"/>
    </row>
    <row r="112" spans="5:30" x14ac:dyDescent="0.25">
      <c r="F112" s="131" t="s">
        <v>179</v>
      </c>
      <c r="H112" s="1">
        <f>H108-50</f>
        <v>386.48059521586981</v>
      </c>
      <c r="I112" s="5"/>
      <c r="J112" s="1">
        <f>J108-50</f>
        <v>396.70673786560144</v>
      </c>
      <c r="K112" s="1"/>
      <c r="L112" s="1">
        <f>L108-50</f>
        <v>-99625.548589353275</v>
      </c>
      <c r="M112" s="5"/>
      <c r="N112" s="1">
        <f>N108-50</f>
        <v>-99625.548589353275</v>
      </c>
      <c r="O112" s="1"/>
      <c r="P112" s="1">
        <f>P108-50</f>
        <v>-99638.660723975932</v>
      </c>
      <c r="Q112" s="5"/>
      <c r="R112" s="1">
        <f>R108-50</f>
        <v>-99637.639058602668</v>
      </c>
      <c r="S112" s="1"/>
      <c r="T112" s="1">
        <f>T108-50</f>
        <v>-99616.410332226427</v>
      </c>
      <c r="U112" s="5"/>
      <c r="V112" s="1">
        <f>V108-50</f>
        <v>-99616.686922668305</v>
      </c>
      <c r="W112" s="1"/>
      <c r="X112" s="1">
        <f>X108-50</f>
        <v>-99580.140712553213</v>
      </c>
      <c r="Y112" s="5"/>
      <c r="Z112" s="1">
        <f>Z108-50</f>
        <v>-99580.241576642904</v>
      </c>
      <c r="AB112" s="159"/>
      <c r="AC112" s="5"/>
      <c r="AD112" s="1"/>
    </row>
    <row r="113" spans="5:30" x14ac:dyDescent="0.25">
      <c r="F113" s="131" t="s">
        <v>180</v>
      </c>
      <c r="H113" s="1">
        <f>H109</f>
        <v>-191.3</v>
      </c>
      <c r="I113" s="5"/>
      <c r="J113" s="1">
        <f>J109</f>
        <v>-185.86512684444247</v>
      </c>
      <c r="K113" s="1"/>
      <c r="L113" s="155">
        <f>L109</f>
        <v>-100225</v>
      </c>
      <c r="M113" s="188"/>
      <c r="N113" s="155">
        <f>N109</f>
        <v>-100225</v>
      </c>
      <c r="O113" s="155"/>
      <c r="P113" s="155">
        <f>P109</f>
        <v>-100220</v>
      </c>
      <c r="Q113" s="188"/>
      <c r="R113" s="155">
        <f>R109</f>
        <v>-100211.72744386234</v>
      </c>
      <c r="S113" s="155"/>
      <c r="T113" s="155">
        <f>T109</f>
        <v>-100210</v>
      </c>
      <c r="U113" s="188"/>
      <c r="V113" s="155">
        <f>V109</f>
        <v>-100213.27240537701</v>
      </c>
      <c r="W113" s="155"/>
      <c r="X113" s="155">
        <f>X109</f>
        <v>-100186.5</v>
      </c>
      <c r="Y113" s="188"/>
      <c r="Z113" s="155">
        <f>Z109</f>
        <v>-100190.06730516901</v>
      </c>
      <c r="AB113" s="189"/>
      <c r="AC113" s="188"/>
      <c r="AD113" s="155"/>
    </row>
    <row r="114" spans="5:30" x14ac:dyDescent="0.25">
      <c r="E114" s="39"/>
      <c r="F114" s="131" t="s">
        <v>115</v>
      </c>
      <c r="H114" s="1">
        <f>H46+H$149</f>
        <v>242.43772767656708</v>
      </c>
      <c r="I114" s="5"/>
      <c r="J114" s="1">
        <f>J46+J$149</f>
        <v>244.17479456147083</v>
      </c>
      <c r="K114" s="1"/>
      <c r="L114" s="1">
        <f>L46+L$149</f>
        <v>-99745.530641220525</v>
      </c>
      <c r="M114" s="5"/>
      <c r="N114" s="1">
        <f>N46+N$149</f>
        <v>-99745.530641220525</v>
      </c>
      <c r="O114" s="1"/>
      <c r="P114" s="1">
        <f>P46+P$149</f>
        <v>-99786.595327419811</v>
      </c>
      <c r="Q114" s="5"/>
      <c r="R114" s="1">
        <f>R46+R$149</f>
        <v>-99799.854588674614</v>
      </c>
      <c r="S114" s="1"/>
      <c r="T114" s="1">
        <f>T46+T$149</f>
        <v>-99780.490214727484</v>
      </c>
      <c r="U114" s="5"/>
      <c r="V114" s="1">
        <f>V46+V$149</f>
        <v>-99775.508893696402</v>
      </c>
      <c r="W114" s="1"/>
      <c r="X114" s="1">
        <f>X46+X$149</f>
        <v>-99728.018560521799</v>
      </c>
      <c r="Y114" s="5"/>
      <c r="Z114" s="1">
        <f>Z46+Z$149</f>
        <v>-99722.660128020216</v>
      </c>
      <c r="AA114" s="1"/>
      <c r="AB114" s="1"/>
      <c r="AC114" s="5"/>
      <c r="AD114" s="1"/>
    </row>
    <row r="115" spans="5:30" x14ac:dyDescent="0.25">
      <c r="E115" s="39"/>
      <c r="F115" s="131" t="s">
        <v>116</v>
      </c>
      <c r="H115" s="1">
        <f>H47+H$150</f>
        <v>677.3480374685787</v>
      </c>
      <c r="I115" s="5"/>
      <c r="J115" s="1">
        <f>J47+J$150</f>
        <v>680.61322147201292</v>
      </c>
      <c r="K115" s="1"/>
      <c r="L115" s="1">
        <f>L47+L$150</f>
        <v>-99360.499386578391</v>
      </c>
      <c r="M115" s="5"/>
      <c r="N115" s="1">
        <f>N47+N$150</f>
        <v>-99360.499386578391</v>
      </c>
      <c r="O115" s="1"/>
      <c r="P115" s="1">
        <f>P47+P$150</f>
        <v>-99341.962909268026</v>
      </c>
      <c r="Q115" s="5"/>
      <c r="R115" s="1">
        <f>R47+R$150</f>
        <v>-99337.809558070003</v>
      </c>
      <c r="S115" s="1"/>
      <c r="T115" s="1">
        <f>T47+T$150</f>
        <v>-99339.315875157161</v>
      </c>
      <c r="U115" s="5"/>
      <c r="V115" s="1">
        <f>V47+V$150</f>
        <v>-99341.067396906394</v>
      </c>
      <c r="W115" s="1"/>
      <c r="X115" s="1">
        <f>X47+X$150</f>
        <v>-99293.259540764149</v>
      </c>
      <c r="Y115" s="5"/>
      <c r="Z115" s="1">
        <f>Z47+Z$150</f>
        <v>-99295.345066325535</v>
      </c>
      <c r="AA115" s="1"/>
      <c r="AB115" s="1"/>
      <c r="AC115" s="5"/>
      <c r="AD115" s="1"/>
    </row>
    <row r="116" spans="5:30" x14ac:dyDescent="0.25">
      <c r="E116" s="39"/>
      <c r="F116" s="131" t="s">
        <v>181</v>
      </c>
      <c r="H116" s="1">
        <f>H114+108</f>
        <v>350.43772767656708</v>
      </c>
      <c r="I116" s="5"/>
      <c r="J116" s="1">
        <f>J114+108</f>
        <v>352.17479456147083</v>
      </c>
      <c r="K116" s="1"/>
      <c r="L116" s="156">
        <f>L114+108</f>
        <v>-99637.530641220525</v>
      </c>
      <c r="M116" s="190"/>
      <c r="N116" s="156">
        <f>N114+108</f>
        <v>-99637.530641220525</v>
      </c>
      <c r="O116" s="156"/>
      <c r="P116" s="156">
        <f>P114+108</f>
        <v>-99678.595327419811</v>
      </c>
      <c r="Q116" s="190"/>
      <c r="R116" s="156">
        <f>R114+108</f>
        <v>-99691.854588674614</v>
      </c>
      <c r="S116" s="156"/>
      <c r="T116" s="156">
        <f>T114+108</f>
        <v>-99672.490214727484</v>
      </c>
      <c r="U116" s="190"/>
      <c r="V116" s="156">
        <f>V114+108</f>
        <v>-99667.508893696402</v>
      </c>
      <c r="W116" s="156"/>
      <c r="X116" s="156">
        <f>X114+108</f>
        <v>-99620.018560521799</v>
      </c>
      <c r="Y116" s="190"/>
      <c r="Z116" s="156">
        <f>Z114+108</f>
        <v>-99614.660128020216</v>
      </c>
      <c r="AB116" s="191"/>
      <c r="AC116" s="190"/>
      <c r="AD116" s="156"/>
    </row>
    <row r="117" spans="5:30" x14ac:dyDescent="0.25">
      <c r="E117" s="39"/>
      <c r="F117" s="131" t="s">
        <v>182</v>
      </c>
      <c r="H117" s="1">
        <f>H115</f>
        <v>677.3480374685787</v>
      </c>
      <c r="I117" s="5"/>
      <c r="J117" s="1">
        <f>J115</f>
        <v>680.61322147201292</v>
      </c>
      <c r="K117" s="1"/>
      <c r="L117" s="1">
        <f>L115</f>
        <v>-99360.499386578391</v>
      </c>
      <c r="M117" s="5"/>
      <c r="N117" s="1">
        <f>N115</f>
        <v>-99360.499386578391</v>
      </c>
      <c r="O117" s="1"/>
      <c r="P117" s="1">
        <f>P115</f>
        <v>-99341.962909268026</v>
      </c>
      <c r="Q117" s="5"/>
      <c r="R117" s="1">
        <f>R115</f>
        <v>-99337.809558070003</v>
      </c>
      <c r="S117" s="1"/>
      <c r="T117" s="1">
        <f>T115</f>
        <v>-99339.315875157161</v>
      </c>
      <c r="U117" s="5"/>
      <c r="V117" s="1">
        <f>V115</f>
        <v>-99341.067396906394</v>
      </c>
      <c r="W117" s="1"/>
      <c r="X117" s="1">
        <f>X115</f>
        <v>-99293.259540764149</v>
      </c>
      <c r="Y117" s="5"/>
      <c r="Z117" s="1">
        <f>Z115</f>
        <v>-99295.345066325535</v>
      </c>
      <c r="AB117" s="159"/>
      <c r="AC117" s="5"/>
      <c r="AD117" s="1"/>
    </row>
    <row r="118" spans="5:30" x14ac:dyDescent="0.25">
      <c r="E118" s="39"/>
      <c r="F118" s="131" t="s">
        <v>183</v>
      </c>
      <c r="H118" s="1">
        <f>H114-72</f>
        <v>170.43772767656708</v>
      </c>
      <c r="I118" s="5"/>
      <c r="J118" s="1">
        <f>J114-72</f>
        <v>172.17479456147083</v>
      </c>
      <c r="K118" s="1"/>
      <c r="L118" s="1">
        <f>L114-72</f>
        <v>-99817.530641220525</v>
      </c>
      <c r="M118" s="5"/>
      <c r="N118" s="1">
        <f>N114-72</f>
        <v>-99817.530641220525</v>
      </c>
      <c r="O118" s="1"/>
      <c r="P118" s="1">
        <f>P114-72</f>
        <v>-99858.595327419811</v>
      </c>
      <c r="Q118" s="5"/>
      <c r="R118" s="1">
        <f>R114-72</f>
        <v>-99871.854588674614</v>
      </c>
      <c r="S118" s="1"/>
      <c r="T118" s="1">
        <f>T114-72</f>
        <v>-99852.490214727484</v>
      </c>
      <c r="U118" s="5"/>
      <c r="V118" s="1">
        <f>V114-72</f>
        <v>-99847.508893696402</v>
      </c>
      <c r="W118" s="1"/>
      <c r="X118" s="1">
        <f>X114-72</f>
        <v>-99800.018560521799</v>
      </c>
      <c r="Y118" s="5"/>
      <c r="Z118" s="1">
        <f>Z114-72</f>
        <v>-99794.660128020216</v>
      </c>
      <c r="AB118" s="159"/>
      <c r="AC118" s="5"/>
      <c r="AD118" s="1"/>
    </row>
    <row r="119" spans="5:30" x14ac:dyDescent="0.25">
      <c r="E119" s="39"/>
      <c r="F119" s="131" t="s">
        <v>184</v>
      </c>
      <c r="H119" s="1">
        <f>H115</f>
        <v>677.3480374685787</v>
      </c>
      <c r="I119" s="5"/>
      <c r="J119" s="1">
        <f>J115</f>
        <v>680.61322147201292</v>
      </c>
      <c r="K119" s="1"/>
      <c r="L119" s="1">
        <f>L115</f>
        <v>-99360.499386578391</v>
      </c>
      <c r="M119" s="5"/>
      <c r="N119" s="1">
        <f>N115</f>
        <v>-99360.499386578391</v>
      </c>
      <c r="O119" s="1"/>
      <c r="P119" s="1">
        <f>P115</f>
        <v>-99341.962909268026</v>
      </c>
      <c r="Q119" s="5"/>
      <c r="R119" s="1">
        <f>R115</f>
        <v>-99337.809558070003</v>
      </c>
      <c r="S119" s="1"/>
      <c r="T119" s="1">
        <f>T115</f>
        <v>-99339.315875157161</v>
      </c>
      <c r="U119" s="5"/>
      <c r="V119" s="1">
        <f>V115</f>
        <v>-99341.067396906394</v>
      </c>
      <c r="W119" s="1"/>
      <c r="X119" s="1">
        <f>X115</f>
        <v>-99293.259540764149</v>
      </c>
      <c r="Y119" s="5"/>
      <c r="Z119" s="1">
        <f>Z115</f>
        <v>-99295.345066325535</v>
      </c>
      <c r="AB119" s="159"/>
      <c r="AC119" s="5"/>
      <c r="AD119" s="1"/>
    </row>
    <row r="120" spans="5:30" x14ac:dyDescent="0.25">
      <c r="E120" s="39"/>
      <c r="F120" s="131" t="s">
        <v>339</v>
      </c>
      <c r="H120" s="1">
        <f>IF('Geometry Calculator'!H$34="Y",H48,H50)+H$145</f>
        <v>262.43772767656708</v>
      </c>
      <c r="I120" s="5"/>
      <c r="J120" s="1">
        <f>IF('Geometry Calculator'!J$34="Y",J48,J50)+J$145</f>
        <v>264.17479456147083</v>
      </c>
      <c r="K120" s="1"/>
      <c r="L120" s="1">
        <f>IF('Geometry Calculator'!L$34="Y",L48,L50)+L$145</f>
        <v>-99745.530641220525</v>
      </c>
      <c r="M120" s="5"/>
      <c r="N120" s="1">
        <f>IF('Geometry Calculator'!N$34="Y",N48,N50)+N$145</f>
        <v>-99745.530641220525</v>
      </c>
      <c r="O120" s="1"/>
      <c r="P120" s="1">
        <f>IF('Geometry Calculator'!P$34="Y",P48,P50)+P$145</f>
        <v>-99786.595327419811</v>
      </c>
      <c r="Q120" s="5"/>
      <c r="R120" s="1">
        <f>IF('Geometry Calculator'!R$34="Y",R48,R50)+R$145</f>
        <v>-99799.854588674614</v>
      </c>
      <c r="S120" s="1"/>
      <c r="T120" s="1">
        <f>IF('Geometry Calculator'!T$34="Y",T48,T50)+T$145</f>
        <v>-99770.490214727484</v>
      </c>
      <c r="U120" s="5"/>
      <c r="V120" s="1">
        <f>IF('Geometry Calculator'!V$34="Y",V48,V50)+V$145</f>
        <v>-99765.508893696402</v>
      </c>
      <c r="W120" s="1"/>
      <c r="X120" s="1">
        <f>IF('Geometry Calculator'!X$34="Y",X48,X50)+X$145</f>
        <v>-99728.018560521799</v>
      </c>
      <c r="Y120" s="5"/>
      <c r="Z120" s="1">
        <f>IF('Geometry Calculator'!Z$34="Y",Z48,Z50)+Z$145</f>
        <v>-99722.660128020216</v>
      </c>
      <c r="AB120" s="159"/>
      <c r="AC120" s="5"/>
      <c r="AD120" s="1"/>
    </row>
    <row r="121" spans="5:30" x14ac:dyDescent="0.25">
      <c r="E121" s="39"/>
      <c r="F121" s="131" t="s">
        <v>340</v>
      </c>
      <c r="H121" s="1">
        <f>IF('Geometry Calculator'!H$34="Y",H49,H51)+H$146</f>
        <v>677.3480374685787</v>
      </c>
      <c r="I121" s="5"/>
      <c r="J121" s="1">
        <f>IF('Geometry Calculator'!J$34="Y",J49,J51)+J$146</f>
        <v>680.61322147201292</v>
      </c>
      <c r="K121" s="1"/>
      <c r="L121" s="1">
        <f>IF('Geometry Calculator'!L$34="Y",L49,L51)+L$146</f>
        <v>-99360.499386578391</v>
      </c>
      <c r="M121" s="5"/>
      <c r="N121" s="1">
        <f>IF('Geometry Calculator'!N$34="Y",N49,N51)+N$146</f>
        <v>-99360.499386578391</v>
      </c>
      <c r="O121" s="1"/>
      <c r="P121" s="1">
        <f>IF('Geometry Calculator'!P$34="Y",P49,P51)+P$146</f>
        <v>-99341.962909268026</v>
      </c>
      <c r="Q121" s="5"/>
      <c r="R121" s="1">
        <f>IF('Geometry Calculator'!R$34="Y",R49,R51)+R$146</f>
        <v>-99337.809558070003</v>
      </c>
      <c r="S121" s="1"/>
      <c r="T121" s="1">
        <f>IF('Geometry Calculator'!T$34="Y",T49,T51)+T$146</f>
        <v>-99339.315875157161</v>
      </c>
      <c r="U121" s="5"/>
      <c r="V121" s="1">
        <f>IF('Geometry Calculator'!V$34="Y",V49,V51)+V$146</f>
        <v>-99341.067396906394</v>
      </c>
      <c r="W121" s="1"/>
      <c r="X121" s="1">
        <f>IF('Geometry Calculator'!X$34="Y",X49,X51)+X$146</f>
        <v>-99293.259540764149</v>
      </c>
      <c r="Y121" s="5"/>
      <c r="Z121" s="1">
        <f>IF('Geometry Calculator'!Z$34="Y",Z49,Z51)+Z$146</f>
        <v>-99295.345066325535</v>
      </c>
      <c r="AB121" s="159"/>
      <c r="AC121" s="5"/>
      <c r="AD121" s="1"/>
    </row>
    <row r="122" spans="5:30" x14ac:dyDescent="0.25">
      <c r="F122" s="131" t="s">
        <v>117</v>
      </c>
      <c r="H122" s="1"/>
      <c r="I122" s="5"/>
      <c r="J122" s="1"/>
      <c r="K122" s="1"/>
      <c r="L122" s="1"/>
      <c r="M122" s="5"/>
      <c r="N122" s="1"/>
      <c r="O122" s="1"/>
      <c r="P122" s="1"/>
      <c r="Q122" s="5"/>
      <c r="R122" s="1"/>
      <c r="S122" s="1"/>
      <c r="T122" s="1"/>
      <c r="U122" s="5"/>
      <c r="V122" s="1"/>
      <c r="W122" s="1"/>
      <c r="X122" s="1"/>
      <c r="Y122" s="5"/>
      <c r="Z122" s="1"/>
      <c r="AB122" s="159"/>
      <c r="AC122" s="5"/>
      <c r="AD122" s="1"/>
    </row>
    <row r="123" spans="5:30" x14ac:dyDescent="0.25">
      <c r="F123" s="131" t="s">
        <v>118</v>
      </c>
      <c r="H123" s="1"/>
      <c r="I123" s="5"/>
      <c r="J123" s="1"/>
      <c r="K123" s="1"/>
      <c r="L123" s="1"/>
      <c r="M123" s="5"/>
      <c r="N123" s="1"/>
      <c r="O123" s="1"/>
      <c r="P123" s="1"/>
      <c r="Q123" s="5"/>
      <c r="R123" s="1"/>
      <c r="S123" s="1"/>
      <c r="T123" s="1"/>
      <c r="U123" s="5"/>
      <c r="V123" s="1"/>
      <c r="W123" s="1"/>
      <c r="X123" s="1"/>
      <c r="Y123" s="5"/>
      <c r="Z123" s="1"/>
      <c r="AB123" s="159"/>
      <c r="AC123" s="5"/>
      <c r="AD123" s="1"/>
    </row>
    <row r="124" spans="5:30" x14ac:dyDescent="0.25">
      <c r="E124" s="39"/>
      <c r="F124" s="131" t="s">
        <v>119</v>
      </c>
      <c r="H124" s="1">
        <f>H54+H$149</f>
        <v>861.37364742895954</v>
      </c>
      <c r="I124" s="5"/>
      <c r="J124" s="1">
        <f>J54+J$149</f>
        <v>851.80426670723011</v>
      </c>
      <c r="K124" s="1"/>
      <c r="L124" s="1">
        <f>L54+L$149</f>
        <v>-99122.694371979407</v>
      </c>
      <c r="M124" s="5"/>
      <c r="N124" s="1">
        <f>N54+N$149</f>
        <v>-99122.694371979407</v>
      </c>
      <c r="O124" s="1"/>
      <c r="P124" s="1">
        <f>P54+P$149</f>
        <v>-99151.133347385607</v>
      </c>
      <c r="Q124" s="5"/>
      <c r="R124" s="1">
        <f>R54+R$149</f>
        <v>-99168.340147552823</v>
      </c>
      <c r="S124" s="1"/>
      <c r="T124" s="1">
        <f>T54+T$149</f>
        <v>-99122.257241321568</v>
      </c>
      <c r="U124" s="5"/>
      <c r="V124" s="1">
        <f>V54+V$149</f>
        <v>-99122.925657498374</v>
      </c>
      <c r="W124" s="1"/>
      <c r="X124" s="1">
        <f>X54+X$149</f>
        <v>-99128.51649918755</v>
      </c>
      <c r="Y124" s="5"/>
      <c r="Z124" s="1">
        <f>Z54+Z$149</f>
        <v>-99130.150173720001</v>
      </c>
      <c r="AB124" s="159"/>
      <c r="AC124" s="5"/>
      <c r="AD124" s="1"/>
    </row>
    <row r="125" spans="5:30" x14ac:dyDescent="0.25">
      <c r="E125" s="39"/>
      <c r="F125" s="131" t="s">
        <v>120</v>
      </c>
      <c r="H125" s="1">
        <f>H55+H$150</f>
        <v>691.86704466241349</v>
      </c>
      <c r="I125" s="5"/>
      <c r="J125" s="1">
        <f>J55+J$150</f>
        <v>708.85557450255396</v>
      </c>
      <c r="K125" s="1"/>
      <c r="L125" s="1">
        <f>L55+L$150</f>
        <v>-99314.568742438743</v>
      </c>
      <c r="M125" s="5"/>
      <c r="N125" s="1">
        <f>N55+N$150</f>
        <v>-99314.568742438743</v>
      </c>
      <c r="O125" s="1"/>
      <c r="P125" s="1">
        <f>P55+P$150</f>
        <v>-99336.332598656547</v>
      </c>
      <c r="Q125" s="5"/>
      <c r="R125" s="1">
        <f>R55+R$150</f>
        <v>-99319.295836587728</v>
      </c>
      <c r="S125" s="1"/>
      <c r="T125" s="1">
        <f>T55+T$150</f>
        <v>-99327.097417220022</v>
      </c>
      <c r="U125" s="5"/>
      <c r="V125" s="1">
        <f>V55+V$150</f>
        <v>-99334.84408830035</v>
      </c>
      <c r="W125" s="1"/>
      <c r="X125" s="1">
        <f>X55+X$150</f>
        <v>-99277.432776018424</v>
      </c>
      <c r="Y125" s="5"/>
      <c r="Z125" s="1">
        <f>Z55+Z$150</f>
        <v>-99285.210890359245</v>
      </c>
      <c r="AB125" s="159"/>
      <c r="AC125" s="5"/>
      <c r="AD125" s="1"/>
    </row>
    <row r="126" spans="5:30" x14ac:dyDescent="0.25">
      <c r="E126" s="39"/>
      <c r="F126" s="131" t="s">
        <v>312</v>
      </c>
      <c r="H126" s="1">
        <f>H56+H$151</f>
        <v>380</v>
      </c>
      <c r="I126" s="5"/>
      <c r="J126" s="1">
        <f>J56+J$151</f>
        <v>380</v>
      </c>
      <c r="K126" s="1"/>
      <c r="L126" s="1">
        <f>L56+L$151</f>
        <v>-99612.5</v>
      </c>
      <c r="M126" s="5"/>
      <c r="N126" s="1">
        <f>N56+N$151</f>
        <v>-99612.5</v>
      </c>
      <c r="O126" s="1"/>
      <c r="P126" s="1">
        <f>P56+P$151</f>
        <v>-99610</v>
      </c>
      <c r="Q126" s="5"/>
      <c r="R126" s="1">
        <f>R56+R$151</f>
        <v>-99610</v>
      </c>
      <c r="S126" s="1"/>
      <c r="T126" s="1">
        <f>T56+T$151</f>
        <v>-99605</v>
      </c>
      <c r="U126" s="5"/>
      <c r="V126" s="1">
        <f>V56+V$151</f>
        <v>-99605</v>
      </c>
      <c r="W126" s="1"/>
      <c r="X126" s="1">
        <f>X56+X$151</f>
        <v>-99613</v>
      </c>
      <c r="Y126" s="5"/>
      <c r="Z126" s="1">
        <f>Z56+Z$151</f>
        <v>-99613</v>
      </c>
      <c r="AB126" s="159"/>
      <c r="AC126" s="5"/>
      <c r="AD126" s="1"/>
    </row>
    <row r="127" spans="5:30" x14ac:dyDescent="0.25">
      <c r="E127" s="39"/>
      <c r="F127" s="131" t="s">
        <v>311</v>
      </c>
      <c r="H127" s="1">
        <f>H57+H$151</f>
        <v>-380</v>
      </c>
      <c r="I127" s="5"/>
      <c r="J127" s="1">
        <f>J57+J$151</f>
        <v>-380</v>
      </c>
      <c r="K127" s="1"/>
      <c r="L127" s="1">
        <f>L57+L$151</f>
        <v>-100387.5</v>
      </c>
      <c r="M127" s="5"/>
      <c r="N127" s="1">
        <f>N57+N$151</f>
        <v>-100387.5</v>
      </c>
      <c r="O127" s="1"/>
      <c r="P127" s="1">
        <f>P57+P$151</f>
        <v>-100390</v>
      </c>
      <c r="Q127" s="5"/>
      <c r="R127" s="1">
        <f>R57+R$151</f>
        <v>-100390</v>
      </c>
      <c r="S127" s="1"/>
      <c r="T127" s="1">
        <f>T57+T$151</f>
        <v>-100395</v>
      </c>
      <c r="U127" s="5"/>
      <c r="V127" s="1">
        <f>V57+V$151</f>
        <v>-100395</v>
      </c>
      <c r="W127" s="1"/>
      <c r="X127" s="1">
        <f>X57+X$151</f>
        <v>-100387</v>
      </c>
      <c r="Y127" s="5"/>
      <c r="Z127" s="1">
        <f>Z57+Z$151</f>
        <v>-100387</v>
      </c>
      <c r="AB127" s="159"/>
      <c r="AC127" s="5"/>
      <c r="AD127" s="1"/>
    </row>
    <row r="128" spans="5:30" x14ac:dyDescent="0.25">
      <c r="F128" s="131" t="s">
        <v>121</v>
      </c>
      <c r="H128" s="1"/>
      <c r="I128" s="5"/>
      <c r="J128" s="1"/>
      <c r="K128" s="1"/>
      <c r="L128" s="1"/>
      <c r="M128" s="5"/>
      <c r="N128" s="1"/>
      <c r="O128" s="1"/>
      <c r="P128" s="1"/>
      <c r="Q128" s="5"/>
      <c r="R128" s="1"/>
      <c r="S128" s="1"/>
      <c r="T128" s="1"/>
      <c r="U128" s="5"/>
      <c r="V128" s="1"/>
      <c r="W128" s="1"/>
      <c r="X128" s="1"/>
      <c r="Y128" s="5"/>
      <c r="Z128" s="1"/>
      <c r="AB128" s="159"/>
      <c r="AC128" s="5"/>
      <c r="AD128" s="1"/>
    </row>
    <row r="129" spans="5:30" x14ac:dyDescent="0.25">
      <c r="F129" s="131" t="s">
        <v>122</v>
      </c>
      <c r="H129" s="1"/>
      <c r="I129" s="5"/>
      <c r="J129" s="1"/>
      <c r="K129" s="1"/>
      <c r="L129" s="1"/>
      <c r="M129" s="5"/>
      <c r="N129" s="1"/>
      <c r="O129" s="1"/>
      <c r="P129" s="1"/>
      <c r="Q129" s="5"/>
      <c r="R129" s="1"/>
      <c r="S129" s="1"/>
      <c r="T129" s="1"/>
      <c r="U129" s="5"/>
      <c r="V129" s="1"/>
      <c r="W129" s="1"/>
      <c r="X129" s="1"/>
      <c r="Y129" s="5"/>
      <c r="Z129" s="1"/>
      <c r="AB129" s="159"/>
      <c r="AC129" s="5"/>
      <c r="AD129" s="1"/>
    </row>
    <row r="130" spans="5:30" x14ac:dyDescent="0.25">
      <c r="E130" s="39"/>
      <c r="F130" s="131" t="s">
        <v>123</v>
      </c>
      <c r="H130" s="1">
        <f>H60+H$149</f>
        <v>881.71564553698795</v>
      </c>
      <c r="I130" s="5"/>
      <c r="J130" s="1">
        <f>J60+J$149</f>
        <v>872.35301786249727</v>
      </c>
      <c r="K130" s="1"/>
      <c r="L130" s="1">
        <f>L60+L$149</f>
        <v>-99101.846986889257</v>
      </c>
      <c r="M130" s="5"/>
      <c r="N130" s="1">
        <f>N60+N$149</f>
        <v>-99101.846986889257</v>
      </c>
      <c r="O130" s="1"/>
      <c r="P130" s="1">
        <f>P60+P$149</f>
        <v>-99130.285962295457</v>
      </c>
      <c r="Q130" s="5"/>
      <c r="R130" s="1">
        <f>R60+R$149</f>
        <v>-99147.492762462673</v>
      </c>
      <c r="S130" s="1"/>
      <c r="T130" s="1">
        <f>T60+T$149</f>
        <v>-99101.37479057553</v>
      </c>
      <c r="U130" s="5"/>
      <c r="V130" s="1">
        <f>V60+V$149</f>
        <v>-99102.043206752336</v>
      </c>
      <c r="W130" s="1"/>
      <c r="X130" s="1">
        <f>X60+X$149</f>
        <v>-99107.6691140974</v>
      </c>
      <c r="Y130" s="5"/>
      <c r="Z130" s="1">
        <f>Z60+Z$149</f>
        <v>-99109.302788629851</v>
      </c>
      <c r="AB130" s="159"/>
      <c r="AC130" s="5"/>
      <c r="AD130" s="1"/>
    </row>
    <row r="131" spans="5:30" x14ac:dyDescent="0.25">
      <c r="E131" s="39"/>
      <c r="F131" s="131" t="s">
        <v>124</v>
      </c>
      <c r="H131" s="1">
        <f>H61+H$150</f>
        <v>685.58773224905713</v>
      </c>
      <c r="I131" s="5"/>
      <c r="J131" s="1">
        <f>J61+J$150</f>
        <v>703.29001277255202</v>
      </c>
      <c r="K131" s="1"/>
      <c r="L131" s="1">
        <f>L61+L$150</f>
        <v>-99328.575556516604</v>
      </c>
      <c r="M131" s="5"/>
      <c r="N131" s="1">
        <f>N61+N$150</f>
        <v>-99328.575556516604</v>
      </c>
      <c r="O131" s="1"/>
      <c r="P131" s="1">
        <f>P61+P$150</f>
        <v>-99350.339412734407</v>
      </c>
      <c r="Q131" s="5"/>
      <c r="R131" s="1">
        <f>R61+R$150</f>
        <v>-99333.302650665588</v>
      </c>
      <c r="S131" s="1"/>
      <c r="T131" s="1">
        <f>T61+T$150</f>
        <v>-99338.776286748209</v>
      </c>
      <c r="U131" s="5"/>
      <c r="V131" s="1">
        <f>V61+V$150</f>
        <v>-99346.522957828536</v>
      </c>
      <c r="W131" s="1"/>
      <c r="X131" s="1">
        <f>X61+X$150</f>
        <v>-99291.439590096285</v>
      </c>
      <c r="Y131" s="5"/>
      <c r="Z131" s="1">
        <f>Z61+Z$150</f>
        <v>-99299.217704437106</v>
      </c>
      <c r="AB131" s="159"/>
      <c r="AC131" s="5"/>
      <c r="AD131" s="1"/>
    </row>
    <row r="132" spans="5:30" x14ac:dyDescent="0.25">
      <c r="E132" s="39"/>
      <c r="F132" s="131" t="s">
        <v>316</v>
      </c>
      <c r="H132" s="1">
        <f>H62+H$151</f>
        <v>251.75502602991239</v>
      </c>
      <c r="I132" s="5"/>
      <c r="J132" s="1">
        <f>J62+J$151</f>
        <v>251.75502602991239</v>
      </c>
      <c r="K132" s="1"/>
      <c r="L132" s="1">
        <f>L62+L$151</f>
        <v>-99744.125209189922</v>
      </c>
      <c r="M132" s="5"/>
      <c r="N132" s="1">
        <f>N62+N$151</f>
        <v>-99744.125209189922</v>
      </c>
      <c r="O132" s="1"/>
      <c r="P132" s="1">
        <f>P62+P$151</f>
        <v>-99741.625209189922</v>
      </c>
      <c r="Q132" s="5"/>
      <c r="R132" s="1">
        <f>R62+R$151</f>
        <v>-99741.625209189922</v>
      </c>
      <c r="S132" s="1"/>
      <c r="T132" s="1">
        <f>T62+T$151</f>
        <v>-99736.846605027895</v>
      </c>
      <c r="U132" s="5"/>
      <c r="V132" s="1">
        <f>V62+V$151</f>
        <v>-99736.846605027895</v>
      </c>
      <c r="W132" s="1"/>
      <c r="X132" s="1">
        <f>X62+X$151</f>
        <v>-99744.625209189922</v>
      </c>
      <c r="Y132" s="5"/>
      <c r="Z132" s="1">
        <f>Z62+Z$151</f>
        <v>-99744.625209189922</v>
      </c>
      <c r="AB132" s="159"/>
      <c r="AC132" s="5"/>
      <c r="AD132" s="1"/>
    </row>
    <row r="133" spans="5:30" x14ac:dyDescent="0.25">
      <c r="E133" s="39"/>
      <c r="F133" s="131" t="s">
        <v>315</v>
      </c>
      <c r="H133" s="1">
        <f>H63+H$151</f>
        <v>-251.75502602991239</v>
      </c>
      <c r="I133" s="5"/>
      <c r="J133" s="1">
        <f>J63+J$151</f>
        <v>-251.75502602991239</v>
      </c>
      <c r="K133" s="1"/>
      <c r="L133" s="1">
        <f>L63+L$151</f>
        <v>-100255.87479081008</v>
      </c>
      <c r="M133" s="5"/>
      <c r="N133" s="1">
        <f>N63+N$151</f>
        <v>-100255.87479081008</v>
      </c>
      <c r="O133" s="1"/>
      <c r="P133" s="1">
        <f>P63+P$151</f>
        <v>-100258.37479081008</v>
      </c>
      <c r="Q133" s="5"/>
      <c r="R133" s="1">
        <f>R63+R$151</f>
        <v>-100258.37479081008</v>
      </c>
      <c r="S133" s="1"/>
      <c r="T133" s="1">
        <f>T63+T$151</f>
        <v>-100263.15339497211</v>
      </c>
      <c r="U133" s="5"/>
      <c r="V133" s="1">
        <f>V63+V$151</f>
        <v>-100263.15339497211</v>
      </c>
      <c r="W133" s="1"/>
      <c r="X133" s="1">
        <f>X63+X$151</f>
        <v>-100255.37479081008</v>
      </c>
      <c r="Y133" s="5"/>
      <c r="Z133" s="1">
        <f>Z63+Z$151</f>
        <v>-100255.37479081008</v>
      </c>
      <c r="AB133" s="159"/>
      <c r="AC133" s="5"/>
      <c r="AD133" s="1"/>
    </row>
    <row r="134" spans="5:30" x14ac:dyDescent="0.25">
      <c r="E134" s="39"/>
      <c r="F134" s="131" t="s">
        <v>349</v>
      </c>
      <c r="H134" s="1">
        <f>IF('Geometry Calculator'!H$34="Y",H191,H191+H$149)</f>
        <v>-370</v>
      </c>
      <c r="I134" s="5"/>
      <c r="J134" s="1">
        <f>IF('Geometry Calculator'!J$34="Y",J191,J191+J$149)</f>
        <v>-370</v>
      </c>
      <c r="L134" s="1">
        <f>IF('Geometry Calculator'!L$34="Y",L191,L191+L$149)</f>
        <v>-100377</v>
      </c>
      <c r="M134" s="86"/>
      <c r="N134" s="1">
        <f>IF('Geometry Calculator'!N$34="Y",N191,N191+N$149)</f>
        <v>-100377</v>
      </c>
      <c r="P134" s="1">
        <f>IF('Geometry Calculator'!P$34="Y",P191,P191+P$149)</f>
        <v>-100363</v>
      </c>
      <c r="Q134" s="86"/>
      <c r="R134" s="1">
        <f>IF('Geometry Calculator'!R$34="Y",R191,R191+R$149)</f>
        <v>-100363</v>
      </c>
      <c r="T134" s="1">
        <f>IF('Geometry Calculator'!T$34="Y",T191,T191+T$149)</f>
        <v>-100372</v>
      </c>
      <c r="U134" s="86"/>
      <c r="V134" s="1">
        <f>IF('Geometry Calculator'!V$34="Y",V191,V191+V$149)</f>
        <v>-100372</v>
      </c>
      <c r="X134" s="1">
        <f>IF('Geometry Calculator'!X$34="Y",X191,X191+X$149)</f>
        <v>-100382.5</v>
      </c>
      <c r="Y134" s="86"/>
      <c r="Z134" s="1">
        <f>IF('Geometry Calculator'!Z$34="Y",Z191,Z191+Z$149)</f>
        <v>-100382.5</v>
      </c>
      <c r="AB134" s="159"/>
      <c r="AC134" s="5"/>
      <c r="AD134" s="1"/>
    </row>
    <row r="135" spans="5:30" x14ac:dyDescent="0.25">
      <c r="E135" s="39"/>
      <c r="F135" s="131" t="s">
        <v>348</v>
      </c>
      <c r="H135" s="1">
        <f>IF('Geometry Calculator'!H$34="Y",H304,H304+H$150)</f>
        <v>1599.1335313107741</v>
      </c>
      <c r="I135" s="5"/>
      <c r="J135" s="1">
        <f>IF('Geometry Calculator'!J$34="Y",J304,J304+J$150)</f>
        <v>1640.7873115853697</v>
      </c>
      <c r="L135" s="1">
        <f>IF('Geometry Calculator'!L$34="Y",L304,L304+L$150)</f>
        <v>-98409.88304439433</v>
      </c>
      <c r="M135" s="86"/>
      <c r="N135" s="1">
        <f>IF('Geometry Calculator'!N$34="Y",N304,N304+N$150)</f>
        <v>-98409.88304439433</v>
      </c>
      <c r="P135" s="1">
        <f>IF('Geometry Calculator'!P$34="Y",P304,P304+P$150)</f>
        <v>-98491.168555825017</v>
      </c>
      <c r="Q135" s="86"/>
      <c r="R135" s="1">
        <f>IF('Geometry Calculator'!R$34="Y",R304,R304+R$150)</f>
        <v>-98459.815492558453</v>
      </c>
      <c r="T135" s="1">
        <f>IF('Geometry Calculator'!T$34="Y",T304,T304+T$150)</f>
        <v>-98435.290253128565</v>
      </c>
      <c r="U135" s="86"/>
      <c r="V135" s="1">
        <f>IF('Geometry Calculator'!V$34="Y",V304,V304+V$150)</f>
        <v>-98418.758703440195</v>
      </c>
      <c r="X135" s="1">
        <f>IF('Geometry Calculator'!X$34="Y",X304,X304+X$150)</f>
        <v>-98430.573403578455</v>
      </c>
      <c r="Y135" s="86"/>
      <c r="Z135" s="1">
        <f>IF('Geometry Calculator'!Z$34="Y",Z304,Z304+Z$150)</f>
        <v>-98413.558572830341</v>
      </c>
      <c r="AB135" s="159"/>
      <c r="AC135" s="5"/>
      <c r="AD135" s="1"/>
    </row>
    <row r="137" spans="5:30" x14ac:dyDescent="0.25">
      <c r="F137" t="s">
        <v>303</v>
      </c>
      <c r="H137" s="1">
        <f>IF('Geometry Calculator'!$E$60="Rear Tire on Ground",H2-H4,IF('Geometry Calculator'!$E$60="Rear Axle",H2-H2,IF('Geometry Calculator'!$E$60="Bottom Bracket",H2-H6,IF('Geometry Calculator'!$E$60="Saddle",H2-H46))))</f>
        <v>0</v>
      </c>
      <c r="I137" s="1"/>
      <c r="J137" s="1">
        <f>IF('Geometry Calculator'!$E$60="Rear Tire on Ground",J2-J4,IF('Geometry Calculator'!$E$60="Rear Axle",J2-J2,IF('Geometry Calculator'!$E$60="Bottom Bracket",J2-J6,IF('Geometry Calculator'!$E$60="Saddle",J2-J46))))</f>
        <v>0</v>
      </c>
      <c r="K137" s="1"/>
      <c r="L137" s="1">
        <f>IF('Geometry Calculator'!$E$60="Rear Tire on Ground",L2-L4,IF('Geometry Calculator'!$E$60="Rear Axle",L2-L2,IF('Geometry Calculator'!$E$60="Bottom Bracket",L2-L6,IF('Geometry Calculator'!$E$60="Saddle",L2-L46))))</f>
        <v>0</v>
      </c>
      <c r="M137" s="1"/>
      <c r="N137" s="1">
        <f>IF('Geometry Calculator'!$E$60="Rear Tire on Ground",N2-N4,IF('Geometry Calculator'!$E$60="Rear Axle",N2-N2,IF('Geometry Calculator'!$E$60="Bottom Bracket",N2-N6,IF('Geometry Calculator'!$E$60="Saddle",N2-N46))))</f>
        <v>0</v>
      </c>
      <c r="O137" s="1"/>
      <c r="P137" s="1">
        <f>IF('Geometry Calculator'!$E$60="Rear Tire on Ground",P2-P4,IF('Geometry Calculator'!$E$60="Rear Axle",P2-P2,IF('Geometry Calculator'!$E$60="Bottom Bracket",P2-P6,IF('Geometry Calculator'!$E$60="Saddle",P2-P46))))</f>
        <v>0</v>
      </c>
      <c r="Q137" s="1"/>
      <c r="R137" s="1">
        <f>IF('Geometry Calculator'!$E$60="Rear Tire on Ground",R2-R4,IF('Geometry Calculator'!$E$60="Rear Axle",R2-R2,IF('Geometry Calculator'!$E$60="Bottom Bracket",R2-R6,IF('Geometry Calculator'!$E$60="Saddle",R2-R46))))</f>
        <v>0</v>
      </c>
      <c r="S137" s="1"/>
      <c r="T137" s="1">
        <f>IF('Geometry Calculator'!$E$60="Rear Tire on Ground",T2-T4,IF('Geometry Calculator'!$E$60="Rear Axle",T2-T2,IF('Geometry Calculator'!$E$60="Bottom Bracket",T2-T6,IF('Geometry Calculator'!$E$60="Saddle",T2-T46))))</f>
        <v>0</v>
      </c>
      <c r="U137" s="1"/>
      <c r="V137" s="1">
        <f>IF('Geometry Calculator'!$E$60="Rear Tire on Ground",V2-V4,IF('Geometry Calculator'!$E$60="Rear Axle",V2-V2,IF('Geometry Calculator'!$E$60="Bottom Bracket",V2-V6,IF('Geometry Calculator'!$E$60="Saddle",V2-V46))))</f>
        <v>0</v>
      </c>
      <c r="W137" s="1"/>
      <c r="X137" s="1">
        <f>IF('Geometry Calculator'!$E$60="Rear Tire on Ground",X2-X4,IF('Geometry Calculator'!$E$60="Rear Axle",X2-X2,IF('Geometry Calculator'!$E$60="Bottom Bracket",X2-X6,IF('Geometry Calculator'!$E$60="Saddle",X2-X46))))</f>
        <v>0</v>
      </c>
      <c r="Y137" s="1"/>
      <c r="Z137" s="1">
        <f>IF('Geometry Calculator'!$E$60="Rear Tire on Ground",Z2-Z4,IF('Geometry Calculator'!$E$60="Rear Axle",Z2-Z2,IF('Geometry Calculator'!$E$60="Bottom Bracket",Z2-Z6,IF('Geometry Calculator'!$E$60="Saddle",Z2-Z46))))</f>
        <v>0</v>
      </c>
      <c r="AB137" s="159"/>
      <c r="AC137" s="1"/>
      <c r="AD137" s="1"/>
    </row>
    <row r="138" spans="5:30" x14ac:dyDescent="0.25">
      <c r="F138" t="s">
        <v>304</v>
      </c>
      <c r="H138" s="1">
        <f>IF('Geometry Calculator'!$E$60="Rear Tire on Ground",H3-H5,IF('Geometry Calculator'!$E$60="Rear Axle",H3-H3,IF('Geometry Calculator'!$E$60="Bottom Bracket",H3-H7,IF('Geometry Calculator'!$E$60="Saddle",H3-H47))))</f>
        <v>0</v>
      </c>
      <c r="I138" s="1"/>
      <c r="J138" s="1">
        <f>IF('Geometry Calculator'!$E$60="Rear Tire on Ground",J3-J5,IF('Geometry Calculator'!$E$60="Rear Axle",J3-J3,IF('Geometry Calculator'!$E$60="Bottom Bracket",J3-J7,IF('Geometry Calculator'!$E$60="Saddle",J3-J47))))</f>
        <v>0</v>
      </c>
      <c r="K138" s="1"/>
      <c r="L138" s="1">
        <f>IF('Geometry Calculator'!$E$60="Rear Tire on Ground",L3-L5,IF('Geometry Calculator'!$E$60="Rear Axle",L3-L3,IF('Geometry Calculator'!$E$60="Bottom Bracket",L3-L7,IF('Geometry Calculator'!$E$60="Saddle",L3-L47))))</f>
        <v>0</v>
      </c>
      <c r="M138" s="1"/>
      <c r="N138" s="1">
        <f>IF('Geometry Calculator'!$E$60="Rear Tire on Ground",N3-N5,IF('Geometry Calculator'!$E$60="Rear Axle",N3-N3,IF('Geometry Calculator'!$E$60="Bottom Bracket",N3-N7,IF('Geometry Calculator'!$E$60="Saddle",N3-N47))))</f>
        <v>0</v>
      </c>
      <c r="O138" s="1"/>
      <c r="P138" s="1">
        <f>IF('Geometry Calculator'!$E$60="Rear Tire on Ground",P3-P5,IF('Geometry Calculator'!$E$60="Rear Axle",P3-P3,IF('Geometry Calculator'!$E$60="Bottom Bracket",P3-P7,IF('Geometry Calculator'!$E$60="Saddle",P3-P47))))</f>
        <v>0</v>
      </c>
      <c r="Q138" s="1"/>
      <c r="R138" s="1">
        <f>IF('Geometry Calculator'!$E$60="Rear Tire on Ground",R3-R5,IF('Geometry Calculator'!$E$60="Rear Axle",R3-R3,IF('Geometry Calculator'!$E$60="Bottom Bracket",R3-R7,IF('Geometry Calculator'!$E$60="Saddle",R3-R47))))</f>
        <v>0</v>
      </c>
      <c r="S138" s="1"/>
      <c r="T138" s="1">
        <f>IF('Geometry Calculator'!$E$60="Rear Tire on Ground",T3-T5,IF('Geometry Calculator'!$E$60="Rear Axle",T3-T3,IF('Geometry Calculator'!$E$60="Bottom Bracket",T3-T7,IF('Geometry Calculator'!$E$60="Saddle",T3-T47))))</f>
        <v>0</v>
      </c>
      <c r="U138" s="1"/>
      <c r="V138" s="1">
        <f>IF('Geometry Calculator'!$E$60="Rear Tire on Ground",V3-V5,IF('Geometry Calculator'!$E$60="Rear Axle",V3-V3,IF('Geometry Calculator'!$E$60="Bottom Bracket",V3-V7,IF('Geometry Calculator'!$E$60="Saddle",V3-V47))))</f>
        <v>0</v>
      </c>
      <c r="W138" s="1"/>
      <c r="X138" s="1">
        <f>IF('Geometry Calculator'!$E$60="Rear Tire on Ground",X3-X5,IF('Geometry Calculator'!$E$60="Rear Axle",X3-X3,IF('Geometry Calculator'!$E$60="Bottom Bracket",X3-X7,IF('Geometry Calculator'!$E$60="Saddle",X3-X47))))</f>
        <v>0</v>
      </c>
      <c r="Y138" s="1"/>
      <c r="Z138" s="1">
        <f>IF('Geometry Calculator'!$E$60="Rear Tire on Ground",Z3-Z5,IF('Geometry Calculator'!$E$60="Rear Axle",Z3-Z3,IF('Geometry Calculator'!$E$60="Bottom Bracket",Z3-Z7,IF('Geometry Calculator'!$E$60="Saddle",Z3-Z47))))</f>
        <v>0</v>
      </c>
      <c r="AB138" s="159"/>
      <c r="AC138" s="1"/>
      <c r="AD138" s="1"/>
    </row>
    <row r="140" spans="5:30" x14ac:dyDescent="0.25">
      <c r="F140" t="s">
        <v>305</v>
      </c>
      <c r="H140" s="1">
        <f>MIN(H137:Z137)</f>
        <v>0</v>
      </c>
      <c r="AB140" s="159"/>
    </row>
    <row r="141" spans="5:30" x14ac:dyDescent="0.25">
      <c r="F141" t="s">
        <v>306</v>
      </c>
      <c r="H141" s="1">
        <f>MAX(H137:Z137)</f>
        <v>0</v>
      </c>
      <c r="AB141" s="159"/>
    </row>
    <row r="142" spans="5:30" x14ac:dyDescent="0.25">
      <c r="F142" t="s">
        <v>307</v>
      </c>
      <c r="H142" s="1">
        <f>MIN(H138:Z138)</f>
        <v>0</v>
      </c>
      <c r="AB142" s="159"/>
    </row>
    <row r="143" spans="5:30" x14ac:dyDescent="0.25">
      <c r="F143" t="s">
        <v>308</v>
      </c>
      <c r="H143" s="1">
        <f>MAX(H138:Z138)</f>
        <v>0</v>
      </c>
      <c r="AB143" s="159"/>
    </row>
    <row r="145" spans="5:30" x14ac:dyDescent="0.25">
      <c r="F145" t="s">
        <v>106</v>
      </c>
      <c r="H145" s="1">
        <f>IF('Geometry Calculator'!H58="Y",H137-$H$140,-100000)</f>
        <v>0</v>
      </c>
      <c r="I145" s="1"/>
      <c r="J145" s="1">
        <f>IF('Geometry Calculator'!J58="Y",J137-$H$140,-100000)</f>
        <v>0</v>
      </c>
      <c r="K145" s="1"/>
      <c r="L145" s="1">
        <f>IF('Geometry Calculator'!L58="Y",L137-$H$140,-100000)</f>
        <v>-100000</v>
      </c>
      <c r="M145" s="1"/>
      <c r="N145" s="1">
        <f>IF('Geometry Calculator'!N58="Y",N137-$H$140,-100000)</f>
        <v>-100000</v>
      </c>
      <c r="O145" s="1"/>
      <c r="P145" s="1">
        <f>IF('Geometry Calculator'!P58="Y",P137-$H$140,-100000)</f>
        <v>-100000</v>
      </c>
      <c r="Q145" s="1"/>
      <c r="R145" s="1">
        <f>IF('Geometry Calculator'!R58="Y",R137-$H$140,-100000)</f>
        <v>-100000</v>
      </c>
      <c r="S145" s="1"/>
      <c r="T145" s="1">
        <f>IF('Geometry Calculator'!T58="Y",T137-$H$140,-100000)</f>
        <v>-100000</v>
      </c>
      <c r="U145" s="1"/>
      <c r="V145" s="1">
        <f>IF('Geometry Calculator'!V58="Y",V137-$H$140,-100000)</f>
        <v>-100000</v>
      </c>
      <c r="W145" s="1"/>
      <c r="X145" s="1">
        <f>IF('Geometry Calculator'!X58="Y",X137-$H$140,-100000)</f>
        <v>-100000</v>
      </c>
      <c r="Y145" s="1"/>
      <c r="Z145" s="1">
        <f>IF('Geometry Calculator'!Z58="Y",Z137-$H$140,-100000)</f>
        <v>-100000</v>
      </c>
      <c r="AB145" s="159"/>
      <c r="AC145" s="1"/>
      <c r="AD145" s="1"/>
    </row>
    <row r="146" spans="5:30" x14ac:dyDescent="0.25">
      <c r="F146" t="s">
        <v>107</v>
      </c>
      <c r="H146" s="1">
        <f>IF('Geometry Calculator'!H58="Y",H138-$H$143,-100000)</f>
        <v>0</v>
      </c>
      <c r="I146" s="1"/>
      <c r="J146" s="1">
        <f>IF('Geometry Calculator'!J58="Y",J138-$H$143,-100000)</f>
        <v>0</v>
      </c>
      <c r="K146" s="1"/>
      <c r="L146" s="1">
        <f>IF('Geometry Calculator'!L58="Y",L138-$H$143,-100000)</f>
        <v>-100000</v>
      </c>
      <c r="M146" s="1"/>
      <c r="N146" s="1">
        <f>IF('Geometry Calculator'!N58="Y",N138-$H$143,-100000)</f>
        <v>-100000</v>
      </c>
      <c r="O146" s="1"/>
      <c r="P146" s="1">
        <f>IF('Geometry Calculator'!P58="Y",P138-$H$143,-100000)</f>
        <v>-100000</v>
      </c>
      <c r="Q146" s="1"/>
      <c r="R146" s="1">
        <f>IF('Geometry Calculator'!R58="Y",R138-$H$143,-100000)</f>
        <v>-100000</v>
      </c>
      <c r="S146" s="1"/>
      <c r="T146" s="1">
        <f>IF('Geometry Calculator'!T58="Y",T138-$H$143,-100000)</f>
        <v>-100000</v>
      </c>
      <c r="U146" s="1"/>
      <c r="V146" s="1">
        <f>IF('Geometry Calculator'!V58="Y",V138-$H$143,-100000)</f>
        <v>-100000</v>
      </c>
      <c r="W146" s="1"/>
      <c r="X146" s="1">
        <f>IF('Geometry Calculator'!X58="Y",X138-$H$143,-100000)</f>
        <v>-100000</v>
      </c>
      <c r="Y146" s="1"/>
      <c r="Z146" s="1">
        <f>IF('Geometry Calculator'!Z58="Y",Z138-$H$143,-100000)</f>
        <v>-100000</v>
      </c>
      <c r="AB146" s="159"/>
      <c r="AC146" s="1"/>
      <c r="AD146" s="1"/>
    </row>
    <row r="147" spans="5:30" x14ac:dyDescent="0.25">
      <c r="F147" t="s">
        <v>326</v>
      </c>
      <c r="H147" s="1">
        <f>IF('Geometry Calculator'!H58="Y",0,-100000)</f>
        <v>0</v>
      </c>
      <c r="I147" s="1"/>
      <c r="J147" s="1">
        <f>IF('Geometry Calculator'!J58="Y",0,-100000)</f>
        <v>0</v>
      </c>
      <c r="K147" s="1"/>
      <c r="L147" s="1">
        <f>IF('Geometry Calculator'!L58="Y",0,-100000)</f>
        <v>-100000</v>
      </c>
      <c r="M147" s="1"/>
      <c r="N147" s="1">
        <f>IF('Geometry Calculator'!N58="Y",0,-100000)</f>
        <v>-100000</v>
      </c>
      <c r="O147" s="1"/>
      <c r="P147" s="1">
        <f>IF('Geometry Calculator'!P58="Y",0,-100000)</f>
        <v>-100000</v>
      </c>
      <c r="Q147" s="1"/>
      <c r="R147" s="1">
        <f>IF('Geometry Calculator'!R58="Y",0,-100000)</f>
        <v>-100000</v>
      </c>
      <c r="S147" s="1"/>
      <c r="T147" s="1">
        <f>IF('Geometry Calculator'!T58="Y",0,-100000)</f>
        <v>-100000</v>
      </c>
      <c r="U147" s="1"/>
      <c r="V147" s="1">
        <f>IF('Geometry Calculator'!V58="Y",0,-100000)</f>
        <v>-100000</v>
      </c>
      <c r="W147" s="1"/>
      <c r="X147" s="1">
        <f>IF('Geometry Calculator'!X58="Y",0,-100000)</f>
        <v>-100000</v>
      </c>
      <c r="Y147" s="1"/>
      <c r="Z147" s="1">
        <f>IF('Geometry Calculator'!Z58="Y",0,-100000)</f>
        <v>-100000</v>
      </c>
      <c r="AB147" s="159"/>
      <c r="AC147" s="1"/>
      <c r="AD147" s="1"/>
    </row>
    <row r="149" spans="5:30" x14ac:dyDescent="0.25">
      <c r="F149" t="s">
        <v>330</v>
      </c>
      <c r="H149" s="1">
        <f>IF('Geometry Calculator'!H34="Y",H145,-100000)</f>
        <v>0</v>
      </c>
      <c r="I149" s="1"/>
      <c r="J149" s="1">
        <f>IF('Geometry Calculator'!J34="Y",J145,-100000)</f>
        <v>0</v>
      </c>
      <c r="K149" s="1"/>
      <c r="L149" s="1">
        <f>IF('Geometry Calculator'!L34="Y",L145,-100000)</f>
        <v>-100000</v>
      </c>
      <c r="M149" s="1"/>
      <c r="N149" s="1">
        <f>IF('Geometry Calculator'!N34="Y",N145,-100000)</f>
        <v>-100000</v>
      </c>
      <c r="O149" s="1"/>
      <c r="P149" s="1">
        <f>IF('Geometry Calculator'!P34="Y",P145,-100000)</f>
        <v>-100000</v>
      </c>
      <c r="Q149" s="1"/>
      <c r="R149" s="1">
        <f>IF('Geometry Calculator'!R34="Y",R145,-100000)</f>
        <v>-100000</v>
      </c>
      <c r="S149" s="1"/>
      <c r="T149" s="1">
        <f>IF('Geometry Calculator'!T34="Y",T145,-100000)</f>
        <v>-100000</v>
      </c>
      <c r="U149" s="1"/>
      <c r="V149" s="1">
        <f>IF('Geometry Calculator'!V34="Y",V145,-100000)</f>
        <v>-100000</v>
      </c>
      <c r="W149" s="1"/>
      <c r="X149" s="1">
        <f>IF('Geometry Calculator'!X34="Y",X145,-100000)</f>
        <v>-100000</v>
      </c>
      <c r="Y149" s="1"/>
      <c r="Z149" s="1">
        <f>IF('Geometry Calculator'!Z34="Y",Z145,-100000)</f>
        <v>-100000</v>
      </c>
      <c r="AB149" s="159"/>
      <c r="AC149" s="1"/>
      <c r="AD149" s="1"/>
    </row>
    <row r="150" spans="5:30" x14ac:dyDescent="0.25">
      <c r="F150" t="s">
        <v>331</v>
      </c>
      <c r="H150" s="1">
        <f>IF('Geometry Calculator'!H34="Y",H146,-100000)</f>
        <v>0</v>
      </c>
      <c r="I150" s="1"/>
      <c r="J150" s="1">
        <f>IF('Geometry Calculator'!J34="Y",J146,-100000)</f>
        <v>0</v>
      </c>
      <c r="K150" s="1"/>
      <c r="L150" s="1">
        <f>IF('Geometry Calculator'!L34="Y",L146,-100000)</f>
        <v>-100000</v>
      </c>
      <c r="M150" s="1"/>
      <c r="N150" s="1">
        <f>IF('Geometry Calculator'!N34="Y",N146,-100000)</f>
        <v>-100000</v>
      </c>
      <c r="O150" s="1"/>
      <c r="P150" s="1">
        <f>IF('Geometry Calculator'!P34="Y",P146,-100000)</f>
        <v>-100000</v>
      </c>
      <c r="Q150" s="1"/>
      <c r="R150" s="1">
        <f>IF('Geometry Calculator'!R34="Y",R146,-100000)</f>
        <v>-100000</v>
      </c>
      <c r="S150" s="1"/>
      <c r="T150" s="1">
        <f>IF('Geometry Calculator'!T34="Y",T146,-100000)</f>
        <v>-100000</v>
      </c>
      <c r="U150" s="1"/>
      <c r="V150" s="1">
        <f>IF('Geometry Calculator'!V34="Y",V146,-100000)</f>
        <v>-100000</v>
      </c>
      <c r="W150" s="1"/>
      <c r="X150" s="1">
        <f>IF('Geometry Calculator'!X34="Y",X146,-100000)</f>
        <v>-100000</v>
      </c>
      <c r="Y150" s="1"/>
      <c r="Z150" s="1">
        <f>IF('Geometry Calculator'!Z34="Y",Z146,-100000)</f>
        <v>-100000</v>
      </c>
      <c r="AB150" s="159"/>
      <c r="AC150" s="1"/>
      <c r="AD150" s="1"/>
    </row>
    <row r="151" spans="5:30" x14ac:dyDescent="0.25">
      <c r="F151" t="s">
        <v>332</v>
      </c>
      <c r="H151" s="1">
        <f>IF('Geometry Calculator'!H34="Y",H147,-100000)</f>
        <v>0</v>
      </c>
      <c r="I151" s="1"/>
      <c r="J151" s="1">
        <f>IF('Geometry Calculator'!J34="Y",J147,-100000)</f>
        <v>0</v>
      </c>
      <c r="K151" s="1"/>
      <c r="L151" s="1">
        <f>IF('Geometry Calculator'!L34="Y",L147,-100000)</f>
        <v>-100000</v>
      </c>
      <c r="M151" s="1"/>
      <c r="N151" s="1">
        <f>IF('Geometry Calculator'!N34="Y",N147,-100000)</f>
        <v>-100000</v>
      </c>
      <c r="O151" s="1"/>
      <c r="P151" s="1">
        <f>IF('Geometry Calculator'!P34="Y",P147,-100000)</f>
        <v>-100000</v>
      </c>
      <c r="Q151" s="1"/>
      <c r="R151" s="1">
        <f>IF('Geometry Calculator'!R34="Y",R147,-100000)</f>
        <v>-100000</v>
      </c>
      <c r="S151" s="1"/>
      <c r="T151" s="1">
        <f>IF('Geometry Calculator'!T34="Y",T147,-100000)</f>
        <v>-100000</v>
      </c>
      <c r="U151" s="1"/>
      <c r="V151" s="1">
        <f>IF('Geometry Calculator'!V34="Y",V147,-100000)</f>
        <v>-100000</v>
      </c>
      <c r="W151" s="1"/>
      <c r="X151" s="1">
        <f>IF('Geometry Calculator'!X34="Y",X147,-100000)</f>
        <v>-100000</v>
      </c>
      <c r="Y151" s="1"/>
      <c r="Z151" s="1">
        <f>IF('Geometry Calculator'!Z34="Y",Z147,-100000)</f>
        <v>-100000</v>
      </c>
      <c r="AB151" s="159"/>
      <c r="AC151" s="1"/>
      <c r="AD151" s="1"/>
    </row>
    <row r="153" spans="5:30" x14ac:dyDescent="0.25">
      <c r="E153" s="7"/>
      <c r="F153" s="7" t="s">
        <v>195</v>
      </c>
    </row>
    <row r="154" spans="5:30" x14ac:dyDescent="0.25">
      <c r="F154" t="s">
        <v>125</v>
      </c>
      <c r="H154">
        <v>1</v>
      </c>
      <c r="J154" t="s">
        <v>186</v>
      </c>
      <c r="L154">
        <v>2</v>
      </c>
      <c r="N154" t="s">
        <v>188</v>
      </c>
      <c r="P154">
        <v>3</v>
      </c>
      <c r="R154" t="s">
        <v>190</v>
      </c>
      <c r="T154">
        <v>4</v>
      </c>
      <c r="V154" t="s">
        <v>192</v>
      </c>
      <c r="X154">
        <v>5</v>
      </c>
      <c r="Z154" t="s">
        <v>194</v>
      </c>
    </row>
    <row r="155" spans="5:30" x14ac:dyDescent="0.25">
      <c r="F155" t="s">
        <v>126</v>
      </c>
      <c r="G155">
        <v>0</v>
      </c>
      <c r="H155" s="1">
        <f>'Geometry Calculator'!H$10/2*COS(RADIANS('Background calcs'!$G155))+H$65</f>
        <v>370</v>
      </c>
      <c r="I155" s="1"/>
      <c r="J155" s="1">
        <f>'Geometry Calculator'!J$10/2*COS(RADIANS('Background calcs'!$G155))+J$65</f>
        <v>370</v>
      </c>
      <c r="K155" s="1"/>
      <c r="L155" s="1">
        <f>'Geometry Calculator'!L$10/2*COS(RADIANS('Background calcs'!$G155))+L$65</f>
        <v>-99623</v>
      </c>
      <c r="M155" s="1"/>
      <c r="N155" s="1">
        <f>'Geometry Calculator'!N$10/2*COS(RADIANS('Background calcs'!$G155))+N$65</f>
        <v>-99623</v>
      </c>
      <c r="O155" s="1"/>
      <c r="P155" s="1">
        <f>'Geometry Calculator'!P$10/2*COS(RADIANS('Background calcs'!$G155))+P$65</f>
        <v>-99637</v>
      </c>
      <c r="Q155" s="1"/>
      <c r="R155" s="1">
        <f>'Geometry Calculator'!R$10/2*COS(RADIANS('Background calcs'!$G155))+R$65</f>
        <v>-99637</v>
      </c>
      <c r="S155" s="1"/>
      <c r="T155" s="1">
        <f>'Geometry Calculator'!T$10/2*COS(RADIANS('Background calcs'!$G155))+T$65</f>
        <v>-99628</v>
      </c>
      <c r="U155" s="1"/>
      <c r="V155" s="1">
        <f>'Geometry Calculator'!V$10/2*COS(RADIANS('Background calcs'!$G155))+V$65</f>
        <v>-99628</v>
      </c>
      <c r="W155" s="1"/>
      <c r="X155" s="1">
        <f>'Geometry Calculator'!X$10/2*COS(RADIANS('Background calcs'!$G155))+X$65</f>
        <v>-99617.5</v>
      </c>
      <c r="Y155" s="1"/>
      <c r="Z155" s="1">
        <f>'Geometry Calculator'!Z$10/2*COS(RADIANS('Background calcs'!$G155))+Z$65</f>
        <v>-99617.5</v>
      </c>
      <c r="AB155" s="159"/>
      <c r="AC155" s="1"/>
      <c r="AD155" s="1"/>
    </row>
    <row r="156" spans="5:30" x14ac:dyDescent="0.25">
      <c r="F156" t="s">
        <v>196</v>
      </c>
      <c r="G156">
        <v>5</v>
      </c>
      <c r="H156" s="1">
        <f>'Geometry Calculator'!H$10/2*COS(RADIANS('Background calcs'!$G156))+H$65</f>
        <v>368.59203829394585</v>
      </c>
      <c r="I156" s="1"/>
      <c r="J156" s="1">
        <f>'Geometry Calculator'!J$10/2*COS(RADIANS('Background calcs'!$G156))+J$65</f>
        <v>368.59203829394585</v>
      </c>
      <c r="K156" s="1"/>
      <c r="L156" s="1">
        <f>'Geometry Calculator'!L$10/2*COS(RADIANS('Background calcs'!$G156))+L$65</f>
        <v>-99624.434598819411</v>
      </c>
      <c r="M156" s="1"/>
      <c r="N156" s="1">
        <f>'Geometry Calculator'!N$10/2*COS(RADIANS('Background calcs'!$G156))+N$65</f>
        <v>-99624.434598819411</v>
      </c>
      <c r="O156" s="1"/>
      <c r="P156" s="1">
        <f>'Geometry Calculator'!P$10/2*COS(RADIANS('Background calcs'!$G156))+P$65</f>
        <v>-99638.381324592701</v>
      </c>
      <c r="Q156" s="1"/>
      <c r="R156" s="1">
        <f>'Geometry Calculator'!R$10/2*COS(RADIANS('Background calcs'!$G156))+R$65</f>
        <v>-99638.381324592701</v>
      </c>
      <c r="S156" s="1"/>
      <c r="T156" s="1">
        <f>'Geometry Calculator'!T$10/2*COS(RADIANS('Background calcs'!$G156))+T$65</f>
        <v>-99629.415572309867</v>
      </c>
      <c r="U156" s="1"/>
      <c r="V156" s="1">
        <f>'Geometry Calculator'!V$10/2*COS(RADIANS('Background calcs'!$G156))+V$65</f>
        <v>-99629.415572309867</v>
      </c>
      <c r="W156" s="1"/>
      <c r="X156" s="1">
        <f>'Geometry Calculator'!X$10/2*COS(RADIANS('Background calcs'!$G156))+X$65</f>
        <v>-99618.95552797991</v>
      </c>
      <c r="Y156" s="1"/>
      <c r="Z156" s="1">
        <f>'Geometry Calculator'!Z$10/2*COS(RADIANS('Background calcs'!$G156))+Z$65</f>
        <v>-99618.95552797991</v>
      </c>
      <c r="AB156" s="159"/>
      <c r="AC156" s="1"/>
      <c r="AD156" s="1"/>
    </row>
    <row r="157" spans="5:30" x14ac:dyDescent="0.25">
      <c r="F157" t="s">
        <v>197</v>
      </c>
      <c r="G157">
        <v>10</v>
      </c>
      <c r="H157" s="1">
        <f>'Geometry Calculator'!H$10/2*COS(RADIANS('Background calcs'!$G157))+H$65</f>
        <v>364.37886861451699</v>
      </c>
      <c r="I157" s="1"/>
      <c r="J157" s="1">
        <f>'Geometry Calculator'!J$10/2*COS(RADIANS('Background calcs'!$G157))+J$65</f>
        <v>364.37886861451699</v>
      </c>
      <c r="K157" s="1"/>
      <c r="L157" s="1">
        <f>'Geometry Calculator'!L$10/2*COS(RADIANS('Background calcs'!$G157))+L$65</f>
        <v>-99628.7274771144</v>
      </c>
      <c r="M157" s="1"/>
      <c r="N157" s="1">
        <f>'Geometry Calculator'!N$10/2*COS(RADIANS('Background calcs'!$G157))+N$65</f>
        <v>-99628.7274771144</v>
      </c>
      <c r="O157" s="1"/>
      <c r="P157" s="1">
        <f>'Geometry Calculator'!P$10/2*COS(RADIANS('Background calcs'!$G157))+P$65</f>
        <v>-99642.514785656575</v>
      </c>
      <c r="Q157" s="1"/>
      <c r="R157" s="1">
        <f>'Geometry Calculator'!R$10/2*COS(RADIANS('Background calcs'!$G157))+R$65</f>
        <v>-99642.514785656575</v>
      </c>
      <c r="S157" s="1"/>
      <c r="T157" s="1">
        <f>'Geometry Calculator'!T$10/2*COS(RADIANS('Background calcs'!$G157))+T$65</f>
        <v>-99633.651515879465</v>
      </c>
      <c r="U157" s="1"/>
      <c r="V157" s="1">
        <f>'Geometry Calculator'!V$10/2*COS(RADIANS('Background calcs'!$G157))+V$65</f>
        <v>-99633.651515879465</v>
      </c>
      <c r="W157" s="1"/>
      <c r="X157" s="1">
        <f>'Geometry Calculator'!X$10/2*COS(RADIANS('Background calcs'!$G157))+X$65</f>
        <v>-99623.311034472834</v>
      </c>
      <c r="Y157" s="1"/>
      <c r="Z157" s="1">
        <f>'Geometry Calculator'!Z$10/2*COS(RADIANS('Background calcs'!$G157))+Z$65</f>
        <v>-99623.311034472834</v>
      </c>
      <c r="AB157" s="159"/>
      <c r="AC157" s="1"/>
      <c r="AD157" s="1"/>
    </row>
    <row r="158" spans="5:30" x14ac:dyDescent="0.25">
      <c r="F158" t="s">
        <v>127</v>
      </c>
      <c r="G158">
        <v>15</v>
      </c>
      <c r="H158" s="1">
        <f>'Geometry Calculator'!H$10/2*COS(RADIANS('Background calcs'!$G158))+H$65</f>
        <v>357.39255572695527</v>
      </c>
      <c r="I158" s="1"/>
      <c r="J158" s="1">
        <f>'Geometry Calculator'!J$10/2*COS(RADIANS('Background calcs'!$G158))+J$65</f>
        <v>357.39255572695527</v>
      </c>
      <c r="K158" s="1"/>
      <c r="L158" s="1">
        <f>'Geometry Calculator'!L$10/2*COS(RADIANS('Background calcs'!$G158))+L$65</f>
        <v>-99635.845963489017</v>
      </c>
      <c r="M158" s="1"/>
      <c r="N158" s="1">
        <f>'Geometry Calculator'!N$10/2*COS(RADIANS('Background calcs'!$G158))+N$65</f>
        <v>-99635.845963489017</v>
      </c>
      <c r="O158" s="1"/>
      <c r="P158" s="1">
        <f>'Geometry Calculator'!P$10/2*COS(RADIANS('Background calcs'!$G158))+P$65</f>
        <v>-99649.368925057075</v>
      </c>
      <c r="Q158" s="1"/>
      <c r="R158" s="1">
        <f>'Geometry Calculator'!R$10/2*COS(RADIANS('Background calcs'!$G158))+R$65</f>
        <v>-99649.368925057075</v>
      </c>
      <c r="S158" s="1"/>
      <c r="T158" s="1">
        <f>'Geometry Calculator'!T$10/2*COS(RADIANS('Background calcs'!$G158))+T$65</f>
        <v>-99640.675592620464</v>
      </c>
      <c r="U158" s="1"/>
      <c r="V158" s="1">
        <f>'Geometry Calculator'!V$10/2*COS(RADIANS('Background calcs'!$G158))+V$65</f>
        <v>-99640.675592620464</v>
      </c>
      <c r="W158" s="1"/>
      <c r="X158" s="1">
        <f>'Geometry Calculator'!X$10/2*COS(RADIANS('Background calcs'!$G158))+X$65</f>
        <v>-99630.533371444428</v>
      </c>
      <c r="Y158" s="1"/>
      <c r="Z158" s="1">
        <f>'Geometry Calculator'!Z$10/2*COS(RADIANS('Background calcs'!$G158))+Z$65</f>
        <v>-99630.533371444428</v>
      </c>
      <c r="AB158" s="159"/>
      <c r="AC158" s="1"/>
      <c r="AD158" s="1"/>
    </row>
    <row r="159" spans="5:30" x14ac:dyDescent="0.25">
      <c r="F159" t="s">
        <v>198</v>
      </c>
      <c r="G159">
        <v>20</v>
      </c>
      <c r="H159" s="1">
        <f>'Geometry Calculator'!H$10/2*COS(RADIANS('Background calcs'!$G159))+H$65</f>
        <v>347.68626969078611</v>
      </c>
      <c r="I159" s="1"/>
      <c r="J159" s="1">
        <f>'Geometry Calculator'!J$10/2*COS(RADIANS('Background calcs'!$G159))+J$65</f>
        <v>347.68626969078611</v>
      </c>
      <c r="K159" s="1"/>
      <c r="L159" s="1">
        <f>'Geometry Calculator'!L$10/2*COS(RADIANS('Background calcs'!$G159))+L$65</f>
        <v>-99645.735881963716</v>
      </c>
      <c r="M159" s="1"/>
      <c r="N159" s="1">
        <f>'Geometry Calculator'!N$10/2*COS(RADIANS('Background calcs'!$G159))+N$65</f>
        <v>-99645.735881963716</v>
      </c>
      <c r="O159" s="1"/>
      <c r="P159" s="1">
        <f>'Geometry Calculator'!P$10/2*COS(RADIANS('Background calcs'!$G159))+P$65</f>
        <v>-99658.891578654715</v>
      </c>
      <c r="Q159" s="1"/>
      <c r="R159" s="1">
        <f>'Geometry Calculator'!R$10/2*COS(RADIANS('Background calcs'!$G159))+R$65</f>
        <v>-99658.891578654715</v>
      </c>
      <c r="S159" s="1"/>
      <c r="T159" s="1">
        <f>'Geometry Calculator'!T$10/2*COS(RADIANS('Background calcs'!$G159))+T$65</f>
        <v>-99650.434345067639</v>
      </c>
      <c r="U159" s="1"/>
      <c r="V159" s="1">
        <f>'Geometry Calculator'!V$10/2*COS(RADIANS('Background calcs'!$G159))+V$65</f>
        <v>-99650.434345067639</v>
      </c>
      <c r="W159" s="1"/>
      <c r="X159" s="1">
        <f>'Geometry Calculator'!X$10/2*COS(RADIANS('Background calcs'!$G159))+X$65</f>
        <v>-99640.567572549393</v>
      </c>
      <c r="Y159" s="1"/>
      <c r="Z159" s="1">
        <f>'Geometry Calculator'!Z$10/2*COS(RADIANS('Background calcs'!$G159))+Z$65</f>
        <v>-99640.567572549393</v>
      </c>
      <c r="AB159" s="159"/>
      <c r="AC159" s="1"/>
      <c r="AD159" s="1"/>
    </row>
    <row r="160" spans="5:30" x14ac:dyDescent="0.25">
      <c r="F160" t="s">
        <v>199</v>
      </c>
      <c r="G160">
        <v>25</v>
      </c>
      <c r="H160" s="1">
        <f>'Geometry Calculator'!H$10/2*COS(RADIANS('Background calcs'!$G160))+H$65</f>
        <v>335.33388120356045</v>
      </c>
      <c r="I160" s="1"/>
      <c r="J160" s="1">
        <f>'Geometry Calculator'!J$10/2*COS(RADIANS('Background calcs'!$G160))+J$65</f>
        <v>335.33388120356045</v>
      </c>
      <c r="K160" s="1"/>
      <c r="L160" s="1">
        <f>'Geometry Calculator'!L$10/2*COS(RADIANS('Background calcs'!$G160))+L$65</f>
        <v>-99658.321964287185</v>
      </c>
      <c r="M160" s="1"/>
      <c r="N160" s="1">
        <f>'Geometry Calculator'!N$10/2*COS(RADIANS('Background calcs'!$G160))+N$65</f>
        <v>-99658.321964287185</v>
      </c>
      <c r="O160" s="1"/>
      <c r="P160" s="1">
        <f>'Geometry Calculator'!P$10/2*COS(RADIANS('Background calcs'!$G160))+P$65</f>
        <v>-99671.010273305699</v>
      </c>
      <c r="Q160" s="1"/>
      <c r="R160" s="1">
        <f>'Geometry Calculator'!R$10/2*COS(RADIANS('Background calcs'!$G160))+R$65</f>
        <v>-99671.010273305699</v>
      </c>
      <c r="S160" s="1"/>
      <c r="T160" s="1">
        <f>'Geometry Calculator'!T$10/2*COS(RADIANS('Background calcs'!$G160))+T$65</f>
        <v>-99662.853503222359</v>
      </c>
      <c r="U160" s="1"/>
      <c r="V160" s="1">
        <f>'Geometry Calculator'!V$10/2*COS(RADIANS('Background calcs'!$G160))+V$65</f>
        <v>-99662.853503222359</v>
      </c>
      <c r="W160" s="1"/>
      <c r="X160" s="1">
        <f>'Geometry Calculator'!X$10/2*COS(RADIANS('Background calcs'!$G160))+X$65</f>
        <v>-99653.337271458484</v>
      </c>
      <c r="Y160" s="1"/>
      <c r="Z160" s="1">
        <f>'Geometry Calculator'!Z$10/2*COS(RADIANS('Background calcs'!$G160))+Z$65</f>
        <v>-99653.337271458484</v>
      </c>
      <c r="AB160" s="159"/>
      <c r="AC160" s="1"/>
      <c r="AD160" s="1"/>
    </row>
    <row r="161" spans="6:30" x14ac:dyDescent="0.25">
      <c r="F161" t="s">
        <v>128</v>
      </c>
      <c r="G161">
        <v>30</v>
      </c>
      <c r="H161" s="1">
        <f>'Geometry Calculator'!H$10/2*COS(RADIANS('Background calcs'!$G161))+H$65</f>
        <v>320.42939940024235</v>
      </c>
      <c r="I161" s="1"/>
      <c r="J161" s="1">
        <f>'Geometry Calculator'!J$10/2*COS(RADIANS('Background calcs'!$G161))+J$65</f>
        <v>320.42939940024235</v>
      </c>
      <c r="K161" s="1"/>
      <c r="L161" s="1">
        <f>'Geometry Calculator'!L$10/2*COS(RADIANS('Background calcs'!$G161))+L$65</f>
        <v>-99673.508422773273</v>
      </c>
      <c r="M161" s="1"/>
      <c r="N161" s="1">
        <f>'Geometry Calculator'!N$10/2*COS(RADIANS('Background calcs'!$G161))+N$65</f>
        <v>-99673.508422773273</v>
      </c>
      <c r="O161" s="1"/>
      <c r="P161" s="1">
        <f>'Geometry Calculator'!P$10/2*COS(RADIANS('Background calcs'!$G161))+P$65</f>
        <v>-99685.632778426254</v>
      </c>
      <c r="Q161" s="1"/>
      <c r="R161" s="1">
        <f>'Geometry Calculator'!R$10/2*COS(RADIANS('Background calcs'!$G161))+R$65</f>
        <v>-99685.632778426254</v>
      </c>
      <c r="S161" s="1"/>
      <c r="T161" s="1">
        <f>'Geometry Calculator'!T$10/2*COS(RADIANS('Background calcs'!$G161))+T$65</f>
        <v>-99677.838549792184</v>
      </c>
      <c r="U161" s="1"/>
      <c r="V161" s="1">
        <f>'Geometry Calculator'!V$10/2*COS(RADIANS('Background calcs'!$G161))+V$65</f>
        <v>-99677.838549792184</v>
      </c>
      <c r="W161" s="1"/>
      <c r="X161" s="1">
        <f>'Geometry Calculator'!X$10/2*COS(RADIANS('Background calcs'!$G161))+X$65</f>
        <v>-99668.745283052456</v>
      </c>
      <c r="Y161" s="1"/>
      <c r="Z161" s="1">
        <f>'Geometry Calculator'!Z$10/2*COS(RADIANS('Background calcs'!$G161))+Z$65</f>
        <v>-99668.745283052456</v>
      </c>
      <c r="AB161" s="159"/>
      <c r="AC161" s="1"/>
      <c r="AD161" s="1"/>
    </row>
    <row r="162" spans="6:30" x14ac:dyDescent="0.25">
      <c r="F162" t="s">
        <v>200</v>
      </c>
      <c r="G162">
        <v>35</v>
      </c>
      <c r="H162" s="1">
        <f>'Geometry Calculator'!H$10/2*COS(RADIANS('Background calcs'!$G162))+H$65</f>
        <v>303.08625638692695</v>
      </c>
      <c r="I162" s="1"/>
      <c r="J162" s="1">
        <f>'Geometry Calculator'!J$10/2*COS(RADIANS('Background calcs'!$G162))+J$65</f>
        <v>303.08625638692695</v>
      </c>
      <c r="K162" s="1"/>
      <c r="L162" s="1">
        <f>'Geometry Calculator'!L$10/2*COS(RADIANS('Background calcs'!$G162))+L$65</f>
        <v>-99691.179679303052</v>
      </c>
      <c r="M162" s="1"/>
      <c r="N162" s="1">
        <f>'Geometry Calculator'!N$10/2*COS(RADIANS('Background calcs'!$G162))+N$65</f>
        <v>-99691.179679303052</v>
      </c>
      <c r="O162" s="1"/>
      <c r="P162" s="1">
        <f>'Geometry Calculator'!P$10/2*COS(RADIANS('Background calcs'!$G162))+P$65</f>
        <v>-99702.647807923102</v>
      </c>
      <c r="Q162" s="1"/>
      <c r="R162" s="1">
        <f>'Geometry Calculator'!R$10/2*COS(RADIANS('Background calcs'!$G162))+R$65</f>
        <v>-99702.647807923102</v>
      </c>
      <c r="S162" s="1"/>
      <c r="T162" s="1">
        <f>'Geometry Calculator'!T$10/2*COS(RADIANS('Background calcs'!$G162))+T$65</f>
        <v>-99695.275439524499</v>
      </c>
      <c r="U162" s="1"/>
      <c r="V162" s="1">
        <f>'Geometry Calculator'!V$10/2*COS(RADIANS('Background calcs'!$G162))+V$65</f>
        <v>-99695.275439524499</v>
      </c>
      <c r="W162" s="1"/>
      <c r="X162" s="1">
        <f>'Geometry Calculator'!X$10/2*COS(RADIANS('Background calcs'!$G162))+X$65</f>
        <v>-99686.674343059465</v>
      </c>
      <c r="Y162" s="1"/>
      <c r="Z162" s="1">
        <f>'Geometry Calculator'!Z$10/2*COS(RADIANS('Background calcs'!$G162))+Z$65</f>
        <v>-99686.674343059465</v>
      </c>
      <c r="AB162" s="159"/>
      <c r="AC162" s="1"/>
      <c r="AD162" s="1"/>
    </row>
    <row r="163" spans="6:30" x14ac:dyDescent="0.25">
      <c r="F163" t="s">
        <v>201</v>
      </c>
      <c r="G163">
        <v>40</v>
      </c>
      <c r="H163" s="1">
        <f>'Geometry Calculator'!H$10/2*COS(RADIANS('Background calcs'!$G163))+H$65</f>
        <v>283.43644395402185</v>
      </c>
      <c r="I163" s="1"/>
      <c r="J163" s="1">
        <f>'Geometry Calculator'!J$10/2*COS(RADIANS('Background calcs'!$G163))+J$65</f>
        <v>283.43644395402185</v>
      </c>
      <c r="K163" s="1"/>
      <c r="L163" s="1">
        <f>'Geometry Calculator'!L$10/2*COS(RADIANS('Background calcs'!$G163))+L$65</f>
        <v>-99711.201244944139</v>
      </c>
      <c r="M163" s="1"/>
      <c r="N163" s="1">
        <f>'Geometry Calculator'!N$10/2*COS(RADIANS('Background calcs'!$G163))+N$65</f>
        <v>-99711.201244944139</v>
      </c>
      <c r="O163" s="1"/>
      <c r="P163" s="1">
        <f>'Geometry Calculator'!P$10/2*COS(RADIANS('Background calcs'!$G163))+P$65</f>
        <v>-99721.925867147816</v>
      </c>
      <c r="Q163" s="1"/>
      <c r="R163" s="1">
        <f>'Geometry Calculator'!R$10/2*COS(RADIANS('Background calcs'!$G163))+R$65</f>
        <v>-99721.925867147816</v>
      </c>
      <c r="S163" s="1"/>
      <c r="T163" s="1">
        <f>'Geometry Calculator'!T$10/2*COS(RADIANS('Background calcs'!$G163))+T$65</f>
        <v>-99715.031467159744</v>
      </c>
      <c r="U163" s="1"/>
      <c r="V163" s="1">
        <f>'Geometry Calculator'!V$10/2*COS(RADIANS('Background calcs'!$G163))+V$65</f>
        <v>-99715.031467159744</v>
      </c>
      <c r="W163" s="1"/>
      <c r="X163" s="1">
        <f>'Geometry Calculator'!X$10/2*COS(RADIANS('Background calcs'!$G163))+X$65</f>
        <v>-99706.988000506986</v>
      </c>
      <c r="Y163" s="1"/>
      <c r="Z163" s="1">
        <f>'Geometry Calculator'!Z$10/2*COS(RADIANS('Background calcs'!$G163))+Z$65</f>
        <v>-99706.988000506986</v>
      </c>
      <c r="AB163" s="159"/>
      <c r="AC163" s="1"/>
      <c r="AD163" s="1"/>
    </row>
    <row r="164" spans="6:30" x14ac:dyDescent="0.25">
      <c r="F164" t="s">
        <v>129</v>
      </c>
      <c r="G164">
        <v>45</v>
      </c>
      <c r="H164" s="1">
        <f>'Geometry Calculator'!H$10/2*COS(RADIANS('Background calcs'!$G164))+H$65</f>
        <v>261.62950903902259</v>
      </c>
      <c r="I164" s="1"/>
      <c r="J164" s="1">
        <f>'Geometry Calculator'!J$10/2*COS(RADIANS('Background calcs'!$G164))+J$65</f>
        <v>261.62950903902259</v>
      </c>
      <c r="K164" s="1"/>
      <c r="L164" s="1">
        <f>'Geometry Calculator'!L$10/2*COS(RADIANS('Background calcs'!$G164))+L$65</f>
        <v>-99733.420743492665</v>
      </c>
      <c r="M164" s="1"/>
      <c r="N164" s="1">
        <f>'Geometry Calculator'!N$10/2*COS(RADIANS('Background calcs'!$G164))+N$65</f>
        <v>-99733.420743492665</v>
      </c>
      <c r="O164" s="1"/>
      <c r="P164" s="1">
        <f>'Geometry Calculator'!P$10/2*COS(RADIANS('Background calcs'!$G164))+P$65</f>
        <v>-99743.320238429282</v>
      </c>
      <c r="Q164" s="1"/>
      <c r="R164" s="1">
        <f>'Geometry Calculator'!R$10/2*COS(RADIANS('Background calcs'!$G164))+R$65</f>
        <v>-99743.320238429282</v>
      </c>
      <c r="S164" s="1"/>
      <c r="T164" s="1">
        <f>'Geometry Calculator'!T$10/2*COS(RADIANS('Background calcs'!$G164))+T$65</f>
        <v>-99736.956277398611</v>
      </c>
      <c r="U164" s="1"/>
      <c r="V164" s="1">
        <f>'Geometry Calculator'!V$10/2*COS(RADIANS('Background calcs'!$G164))+V$65</f>
        <v>-99736.956277398611</v>
      </c>
      <c r="W164" s="1"/>
      <c r="X164" s="1">
        <f>'Geometry Calculator'!X$10/2*COS(RADIANS('Background calcs'!$G164))+X$65</f>
        <v>-99729.531656196152</v>
      </c>
      <c r="Y164" s="1"/>
      <c r="Z164" s="1">
        <f>'Geometry Calculator'!Z$10/2*COS(RADIANS('Background calcs'!$G164))+Z$65</f>
        <v>-99729.531656196152</v>
      </c>
      <c r="AB164" s="159"/>
      <c r="AC164" s="1"/>
      <c r="AD164" s="1"/>
    </row>
    <row r="165" spans="6:30" x14ac:dyDescent="0.25">
      <c r="F165" t="s">
        <v>202</v>
      </c>
      <c r="G165">
        <v>50</v>
      </c>
      <c r="H165" s="1">
        <f>'Geometry Calculator'!H$10/2*COS(RADIANS('Background calcs'!$G165))+H$65</f>
        <v>237.83141558401957</v>
      </c>
      <c r="I165" s="1"/>
      <c r="J165" s="1">
        <f>'Geometry Calculator'!J$10/2*COS(RADIANS('Background calcs'!$G165))+J$65</f>
        <v>237.83141558401957</v>
      </c>
      <c r="K165" s="1"/>
      <c r="L165" s="1">
        <f>'Geometry Calculator'!L$10/2*COS(RADIANS('Background calcs'!$G165))+L$65</f>
        <v>-99757.669071148179</v>
      </c>
      <c r="M165" s="1"/>
      <c r="N165" s="1">
        <f>'Geometry Calculator'!N$10/2*COS(RADIANS('Background calcs'!$G165))+N$65</f>
        <v>-99757.669071148179</v>
      </c>
      <c r="O165" s="1"/>
      <c r="P165" s="1">
        <f>'Geometry Calculator'!P$10/2*COS(RADIANS('Background calcs'!$G165))+P$65</f>
        <v>-99766.668097683782</v>
      </c>
      <c r="Q165" s="1"/>
      <c r="R165" s="1">
        <f>'Geometry Calculator'!R$10/2*COS(RADIANS('Background calcs'!$G165))+R$65</f>
        <v>-99766.668097683782</v>
      </c>
      <c r="S165" s="1"/>
      <c r="T165" s="1">
        <f>'Geometry Calculator'!T$10/2*COS(RADIANS('Background calcs'!$G165))+T$65</f>
        <v>-99760.883009196608</v>
      </c>
      <c r="U165" s="1"/>
      <c r="V165" s="1">
        <f>'Geometry Calculator'!V$10/2*COS(RADIANS('Background calcs'!$G165))+V$65</f>
        <v>-99760.883009196608</v>
      </c>
      <c r="W165" s="1"/>
      <c r="X165" s="1">
        <f>'Geometry Calculator'!X$10/2*COS(RADIANS('Background calcs'!$G165))+X$65</f>
        <v>-99754.133739294892</v>
      </c>
      <c r="Y165" s="1"/>
      <c r="Z165" s="1">
        <f>'Geometry Calculator'!Z$10/2*COS(RADIANS('Background calcs'!$G165))+Z$65</f>
        <v>-99754.133739294892</v>
      </c>
      <c r="AB165" s="159"/>
      <c r="AC165" s="1"/>
      <c r="AD165" s="1"/>
    </row>
    <row r="166" spans="6:30" x14ac:dyDescent="0.25">
      <c r="F166" t="s">
        <v>203</v>
      </c>
      <c r="G166">
        <v>55</v>
      </c>
      <c r="H166" s="1">
        <f>'Geometry Calculator'!H$10/2*COS(RADIANS('Background calcs'!$G166))+H$65</f>
        <v>212.22328144988708</v>
      </c>
      <c r="I166" s="1"/>
      <c r="J166" s="1">
        <f>'Geometry Calculator'!J$10/2*COS(RADIANS('Background calcs'!$G166))+J$65</f>
        <v>212.22328144988708</v>
      </c>
      <c r="K166" s="1"/>
      <c r="L166" s="1">
        <f>'Geometry Calculator'!L$10/2*COS(RADIANS('Background calcs'!$G166))+L$65</f>
        <v>-99783.761683495657</v>
      </c>
      <c r="M166" s="1"/>
      <c r="N166" s="1">
        <f>'Geometry Calculator'!N$10/2*COS(RADIANS('Background calcs'!$G166))+N$65</f>
        <v>-99783.761683495657</v>
      </c>
      <c r="O166" s="1"/>
      <c r="P166" s="1">
        <f>'Geometry Calculator'!P$10/2*COS(RADIANS('Background calcs'!$G166))+P$65</f>
        <v>-99791.791753604572</v>
      </c>
      <c r="Q166" s="1"/>
      <c r="R166" s="1">
        <f>'Geometry Calculator'!R$10/2*COS(RADIANS('Background calcs'!$G166))+R$65</f>
        <v>-99791.791753604572</v>
      </c>
      <c r="S166" s="1"/>
      <c r="T166" s="1">
        <f>'Geometry Calculator'!T$10/2*COS(RADIANS('Background calcs'!$G166))+T$65</f>
        <v>-99786.629565677416</v>
      </c>
      <c r="U166" s="1"/>
      <c r="V166" s="1">
        <f>'Geometry Calculator'!V$10/2*COS(RADIANS('Background calcs'!$G166))+V$65</f>
        <v>-99786.629565677416</v>
      </c>
      <c r="W166" s="1"/>
      <c r="X166" s="1">
        <f>'Geometry Calculator'!X$10/2*COS(RADIANS('Background calcs'!$G166))+X$65</f>
        <v>-99780.607013095723</v>
      </c>
      <c r="Y166" s="1"/>
      <c r="Z166" s="1">
        <f>'Geometry Calculator'!Z$10/2*COS(RADIANS('Background calcs'!$G166))+Z$65</f>
        <v>-99780.607013095723</v>
      </c>
      <c r="AB166" s="159"/>
      <c r="AC166" s="1"/>
      <c r="AD166" s="1"/>
    </row>
    <row r="167" spans="6:30" x14ac:dyDescent="0.25">
      <c r="F167" t="s">
        <v>130</v>
      </c>
      <c r="G167">
        <v>60</v>
      </c>
      <c r="H167" s="1">
        <f>'Geometry Calculator'!H$10/2*COS(RADIANS('Background calcs'!$G167))+H$65</f>
        <v>185.00000000000003</v>
      </c>
      <c r="I167" s="1"/>
      <c r="J167" s="1">
        <f>'Geometry Calculator'!J$10/2*COS(RADIANS('Background calcs'!$G167))+J$65</f>
        <v>185.00000000000003</v>
      </c>
      <c r="K167" s="1"/>
      <c r="L167" s="1">
        <f>'Geometry Calculator'!L$10/2*COS(RADIANS('Background calcs'!$G167))+L$65</f>
        <v>-99811.5</v>
      </c>
      <c r="M167" s="1"/>
      <c r="N167" s="1">
        <f>'Geometry Calculator'!N$10/2*COS(RADIANS('Background calcs'!$G167))+N$65</f>
        <v>-99811.5</v>
      </c>
      <c r="O167" s="1"/>
      <c r="P167" s="1">
        <f>'Geometry Calculator'!P$10/2*COS(RADIANS('Background calcs'!$G167))+P$65</f>
        <v>-99818.5</v>
      </c>
      <c r="Q167" s="1"/>
      <c r="R167" s="1">
        <f>'Geometry Calculator'!R$10/2*COS(RADIANS('Background calcs'!$G167))+R$65</f>
        <v>-99818.5</v>
      </c>
      <c r="S167" s="1"/>
      <c r="T167" s="1">
        <f>'Geometry Calculator'!T$10/2*COS(RADIANS('Background calcs'!$G167))+T$65</f>
        <v>-99814</v>
      </c>
      <c r="U167" s="1"/>
      <c r="V167" s="1">
        <f>'Geometry Calculator'!V$10/2*COS(RADIANS('Background calcs'!$G167))+V$65</f>
        <v>-99814</v>
      </c>
      <c r="W167" s="1"/>
      <c r="X167" s="1">
        <f>'Geometry Calculator'!X$10/2*COS(RADIANS('Background calcs'!$G167))+X$65</f>
        <v>-99808.75</v>
      </c>
      <c r="Y167" s="1"/>
      <c r="Z167" s="1">
        <f>'Geometry Calculator'!Z$10/2*COS(RADIANS('Background calcs'!$G167))+Z$65</f>
        <v>-99808.75</v>
      </c>
      <c r="AB167" s="159"/>
      <c r="AC167" s="1"/>
      <c r="AD167" s="1"/>
    </row>
    <row r="168" spans="6:30" x14ac:dyDescent="0.25">
      <c r="F168" t="s">
        <v>204</v>
      </c>
      <c r="G168">
        <v>65</v>
      </c>
      <c r="H168" s="1">
        <f>'Geometry Calculator'!H$10/2*COS(RADIANS('Background calcs'!$G168))+H$65</f>
        <v>156.36875684405879</v>
      </c>
      <c r="I168" s="1"/>
      <c r="J168" s="1">
        <f>'Geometry Calculator'!J$10/2*COS(RADIANS('Background calcs'!$G168))+J$65</f>
        <v>156.36875684405879</v>
      </c>
      <c r="K168" s="1"/>
      <c r="L168" s="1">
        <f>'Geometry Calculator'!L$10/2*COS(RADIANS('Background calcs'!$G168))+L$65</f>
        <v>-99840.672915323754</v>
      </c>
      <c r="M168" s="1"/>
      <c r="N168" s="1">
        <f>'Geometry Calculator'!N$10/2*COS(RADIANS('Background calcs'!$G168))+N$65</f>
        <v>-99840.672915323754</v>
      </c>
      <c r="O168" s="1"/>
      <c r="P168" s="1">
        <f>'Geometry Calculator'!P$10/2*COS(RADIANS('Background calcs'!$G168))+P$65</f>
        <v>-99846.58957098813</v>
      </c>
      <c r="Q168" s="1"/>
      <c r="R168" s="1">
        <f>'Geometry Calculator'!R$10/2*COS(RADIANS('Background calcs'!$G168))+R$65</f>
        <v>-99846.58957098813</v>
      </c>
      <c r="S168" s="1"/>
      <c r="T168" s="1">
        <f>'Geometry Calculator'!T$10/2*COS(RADIANS('Background calcs'!$G168))+T$65</f>
        <v>-99842.786006632465</v>
      </c>
      <c r="U168" s="1"/>
      <c r="V168" s="1">
        <f>'Geometry Calculator'!V$10/2*COS(RADIANS('Background calcs'!$G168))+V$65</f>
        <v>-99842.786006632465</v>
      </c>
      <c r="W168" s="1"/>
      <c r="X168" s="1">
        <f>'Geometry Calculator'!X$10/2*COS(RADIANS('Background calcs'!$G168))+X$65</f>
        <v>-99838.348514884186</v>
      </c>
      <c r="Y168" s="1"/>
      <c r="Z168" s="1">
        <f>'Geometry Calculator'!Z$10/2*COS(RADIANS('Background calcs'!$G168))+Z$65</f>
        <v>-99838.348514884186</v>
      </c>
      <c r="AB168" s="159"/>
      <c r="AC168" s="1"/>
      <c r="AD168" s="1"/>
    </row>
    <row r="169" spans="6:30" x14ac:dyDescent="0.25">
      <c r="F169" t="s">
        <v>205</v>
      </c>
      <c r="G169">
        <v>70</v>
      </c>
      <c r="H169" s="1">
        <f>'Geometry Calculator'!H$10/2*COS(RADIANS('Background calcs'!$G169))+H$65</f>
        <v>126.54745303049746</v>
      </c>
      <c r="I169" s="1"/>
      <c r="J169" s="1">
        <f>'Geometry Calculator'!J$10/2*COS(RADIANS('Background calcs'!$G169))+J$65</f>
        <v>126.54745303049746</v>
      </c>
      <c r="K169" s="1"/>
      <c r="L169" s="1">
        <f>'Geometry Calculator'!L$10/2*COS(RADIANS('Background calcs'!$G169))+L$65</f>
        <v>-99871.058405966221</v>
      </c>
      <c r="M169" s="1"/>
      <c r="N169" s="1">
        <f>'Geometry Calculator'!N$10/2*COS(RADIANS('Background calcs'!$G169))+N$65</f>
        <v>-99871.058405966221</v>
      </c>
      <c r="O169" s="1"/>
      <c r="P169" s="1">
        <f>'Geometry Calculator'!P$10/2*COS(RADIANS('Background calcs'!$G169))+P$65</f>
        <v>-99875.846687972778</v>
      </c>
      <c r="Q169" s="1"/>
      <c r="R169" s="1">
        <f>'Geometry Calculator'!R$10/2*COS(RADIANS('Background calcs'!$G169))+R$65</f>
        <v>-99875.846687972778</v>
      </c>
      <c r="S169" s="1"/>
      <c r="T169" s="1">
        <f>'Geometry Calculator'!T$10/2*COS(RADIANS('Background calcs'!$G169))+T$65</f>
        <v>-99872.768506682856</v>
      </c>
      <c r="U169" s="1"/>
      <c r="V169" s="1">
        <f>'Geometry Calculator'!V$10/2*COS(RADIANS('Background calcs'!$G169))+V$65</f>
        <v>-99872.768506682856</v>
      </c>
      <c r="W169" s="1"/>
      <c r="X169" s="1">
        <f>'Geometry Calculator'!X$10/2*COS(RADIANS('Background calcs'!$G169))+X$65</f>
        <v>-99869.177295177928</v>
      </c>
      <c r="Y169" s="1"/>
      <c r="Z169" s="1">
        <f>'Geometry Calculator'!Z$10/2*COS(RADIANS('Background calcs'!$G169))+Z$65</f>
        <v>-99869.177295177928</v>
      </c>
      <c r="AB169" s="159"/>
      <c r="AC169" s="1"/>
      <c r="AD169" s="1"/>
    </row>
    <row r="170" spans="6:30" x14ac:dyDescent="0.25">
      <c r="F170" t="s">
        <v>131</v>
      </c>
      <c r="G170">
        <v>75</v>
      </c>
      <c r="H170" s="1">
        <f>'Geometry Calculator'!H$10/2*COS(RADIANS('Background calcs'!$G170))+H$65</f>
        <v>95.763046687932672</v>
      </c>
      <c r="I170" s="1"/>
      <c r="J170" s="1">
        <f>'Geometry Calculator'!J$10/2*COS(RADIANS('Background calcs'!$G170))+J$65</f>
        <v>95.763046687932672</v>
      </c>
      <c r="K170" s="1"/>
      <c r="L170" s="1">
        <f>'Geometry Calculator'!L$10/2*COS(RADIANS('Background calcs'!$G170))+L$65</f>
        <v>-99902.425219996352</v>
      </c>
      <c r="M170" s="1"/>
      <c r="N170" s="1">
        <f>'Geometry Calculator'!N$10/2*COS(RADIANS('Background calcs'!$G170))+N$65</f>
        <v>-99902.425219996352</v>
      </c>
      <c r="O170" s="1"/>
      <c r="P170" s="1">
        <f>'Geometry Calculator'!P$10/2*COS(RADIANS('Background calcs'!$G170))+P$65</f>
        <v>-99906.048686627779</v>
      </c>
      <c r="Q170" s="1"/>
      <c r="R170" s="1">
        <f>'Geometry Calculator'!R$10/2*COS(RADIANS('Background calcs'!$G170))+R$65</f>
        <v>-99906.048686627779</v>
      </c>
      <c r="S170" s="1"/>
      <c r="T170" s="1">
        <f>'Geometry Calculator'!T$10/2*COS(RADIANS('Background calcs'!$G170))+T$65</f>
        <v>-99903.719315221868</v>
      </c>
      <c r="U170" s="1"/>
      <c r="V170" s="1">
        <f>'Geometry Calculator'!V$10/2*COS(RADIANS('Background calcs'!$G170))+V$65</f>
        <v>-99903.719315221868</v>
      </c>
      <c r="W170" s="1"/>
      <c r="X170" s="1">
        <f>'Geometry Calculator'!X$10/2*COS(RADIANS('Background calcs'!$G170))+X$65</f>
        <v>-99901.001715248291</v>
      </c>
      <c r="Y170" s="1"/>
      <c r="Z170" s="1">
        <f>'Geometry Calculator'!Z$10/2*COS(RADIANS('Background calcs'!$G170))+Z$65</f>
        <v>-99901.001715248291</v>
      </c>
      <c r="AB170" s="159"/>
      <c r="AC170" s="1"/>
      <c r="AD170" s="1"/>
    </row>
    <row r="171" spans="6:30" x14ac:dyDescent="0.25">
      <c r="F171" t="s">
        <v>206</v>
      </c>
      <c r="G171">
        <v>80</v>
      </c>
      <c r="H171" s="1">
        <f>'Geometry Calculator'!H$10/2*COS(RADIANS('Background calcs'!$G171))+H$65</f>
        <v>64.249825736764251</v>
      </c>
      <c r="I171" s="1"/>
      <c r="J171" s="1">
        <f>'Geometry Calculator'!J$10/2*COS(RADIANS('Background calcs'!$G171))+J$65</f>
        <v>64.249825736764251</v>
      </c>
      <c r="K171" s="1"/>
      <c r="L171" s="1">
        <f>'Geometry Calculator'!L$10/2*COS(RADIANS('Background calcs'!$G171))+L$65</f>
        <v>-99934.534637019562</v>
      </c>
      <c r="M171" s="1"/>
      <c r="N171" s="1">
        <f>'Geometry Calculator'!N$10/2*COS(RADIANS('Background calcs'!$G171))+N$65</f>
        <v>-99934.534637019562</v>
      </c>
      <c r="O171" s="1"/>
      <c r="P171" s="1">
        <f>'Geometry Calculator'!P$10/2*COS(RADIANS('Background calcs'!$G171))+P$65</f>
        <v>-99936.965711506899</v>
      </c>
      <c r="Q171" s="1"/>
      <c r="R171" s="1">
        <f>'Geometry Calculator'!R$10/2*COS(RADIANS('Background calcs'!$G171))+R$65</f>
        <v>-99936.965711506899</v>
      </c>
      <c r="S171" s="1"/>
      <c r="T171" s="1">
        <f>'Geometry Calculator'!T$10/2*COS(RADIANS('Background calcs'!$G171))+T$65</f>
        <v>-99935.402877907909</v>
      </c>
      <c r="U171" s="1"/>
      <c r="V171" s="1">
        <f>'Geometry Calculator'!V$10/2*COS(RADIANS('Background calcs'!$G171))+V$65</f>
        <v>-99935.402877907909</v>
      </c>
      <c r="W171" s="1"/>
      <c r="X171" s="1">
        <f>'Geometry Calculator'!X$10/2*COS(RADIANS('Background calcs'!$G171))+X$65</f>
        <v>-99933.579572042392</v>
      </c>
      <c r="Y171" s="1"/>
      <c r="Z171" s="1">
        <f>'Geometry Calculator'!Z$10/2*COS(RADIANS('Background calcs'!$G171))+Z$65</f>
        <v>-99933.579572042392</v>
      </c>
      <c r="AB171" s="159"/>
      <c r="AC171" s="1"/>
      <c r="AD171" s="1"/>
    </row>
    <row r="172" spans="6:30" x14ac:dyDescent="0.25">
      <c r="F172" t="s">
        <v>207</v>
      </c>
      <c r="G172">
        <v>85</v>
      </c>
      <c r="H172" s="1">
        <f>'Geometry Calculator'!H$10/2*COS(RADIANS('Background calcs'!$G172))+H$65</f>
        <v>32.247624816633511</v>
      </c>
      <c r="I172" s="1"/>
      <c r="J172" s="1">
        <f>'Geometry Calculator'!J$10/2*COS(RADIANS('Background calcs'!$G172))+J$65</f>
        <v>32.247624816633511</v>
      </c>
      <c r="K172" s="1"/>
      <c r="L172" s="1">
        <f>'Geometry Calculator'!L$10/2*COS(RADIANS('Background calcs'!$G172))+L$65</f>
        <v>-99967.142284984133</v>
      </c>
      <c r="M172" s="1"/>
      <c r="N172" s="1">
        <f>'Geometry Calculator'!N$10/2*COS(RADIANS('Background calcs'!$G172))+N$65</f>
        <v>-99967.142284984133</v>
      </c>
      <c r="O172" s="1"/>
      <c r="P172" s="1">
        <f>'Geometry Calculator'!P$10/2*COS(RADIANS('Background calcs'!$G172))+P$65</f>
        <v>-99968.362465382597</v>
      </c>
      <c r="Q172" s="1"/>
      <c r="R172" s="1">
        <f>'Geometry Calculator'!R$10/2*COS(RADIANS('Background calcs'!$G172))+R$65</f>
        <v>-99968.362465382597</v>
      </c>
      <c r="S172" s="1"/>
      <c r="T172" s="1">
        <f>'Geometry Calculator'!T$10/2*COS(RADIANS('Background calcs'!$G172))+T$65</f>
        <v>-99967.578063697874</v>
      </c>
      <c r="U172" s="1"/>
      <c r="V172" s="1">
        <f>'Geometry Calculator'!V$10/2*COS(RADIANS('Background calcs'!$G172))+V$65</f>
        <v>-99967.578063697874</v>
      </c>
      <c r="W172" s="1"/>
      <c r="X172" s="1">
        <f>'Geometry Calculator'!X$10/2*COS(RADIANS('Background calcs'!$G172))+X$65</f>
        <v>-99966.662928399019</v>
      </c>
      <c r="Y172" s="1"/>
      <c r="Z172" s="1">
        <f>'Geometry Calculator'!Z$10/2*COS(RADIANS('Background calcs'!$G172))+Z$65</f>
        <v>-99966.662928399019</v>
      </c>
      <c r="AB172" s="159"/>
      <c r="AC172" s="1"/>
      <c r="AD172" s="1"/>
    </row>
    <row r="173" spans="6:30" x14ac:dyDescent="0.25">
      <c r="F173" t="s">
        <v>132</v>
      </c>
      <c r="G173">
        <v>90</v>
      </c>
      <c r="H173" s="1">
        <f>'Geometry Calculator'!H$10/2*COS(RADIANS('Background calcs'!$G173))+H$65</f>
        <v>2.266524641580947E-14</v>
      </c>
      <c r="I173" s="1"/>
      <c r="J173" s="1">
        <f>'Geometry Calculator'!J$10/2*COS(RADIANS('Background calcs'!$G173))+J$65</f>
        <v>2.266524641580947E-14</v>
      </c>
      <c r="K173" s="1"/>
      <c r="L173" s="1">
        <f>'Geometry Calculator'!L$10/2*COS(RADIANS('Background calcs'!$G173))+L$65</f>
        <v>-100000</v>
      </c>
      <c r="M173" s="1"/>
      <c r="N173" s="1">
        <f>'Geometry Calculator'!N$10/2*COS(RADIANS('Background calcs'!$G173))+N$65</f>
        <v>-100000</v>
      </c>
      <c r="O173" s="1"/>
      <c r="P173" s="1">
        <f>'Geometry Calculator'!P$10/2*COS(RADIANS('Background calcs'!$G173))+P$65</f>
        <v>-100000</v>
      </c>
      <c r="Q173" s="1"/>
      <c r="R173" s="1">
        <f>'Geometry Calculator'!R$10/2*COS(RADIANS('Background calcs'!$G173))+R$65</f>
        <v>-100000</v>
      </c>
      <c r="S173" s="1"/>
      <c r="T173" s="1">
        <f>'Geometry Calculator'!T$10/2*COS(RADIANS('Background calcs'!$G173))+T$65</f>
        <v>-100000</v>
      </c>
      <c r="U173" s="1"/>
      <c r="V173" s="1">
        <f>'Geometry Calculator'!V$10/2*COS(RADIANS('Background calcs'!$G173))+V$65</f>
        <v>-100000</v>
      </c>
      <c r="W173" s="1"/>
      <c r="X173" s="1">
        <f>'Geometry Calculator'!X$10/2*COS(RADIANS('Background calcs'!$G173))+X$65</f>
        <v>-100000</v>
      </c>
      <c r="Y173" s="1"/>
      <c r="Z173" s="1">
        <f>'Geometry Calculator'!Z$10/2*COS(RADIANS('Background calcs'!$G173))+Z$65</f>
        <v>-100000</v>
      </c>
      <c r="AB173" s="159"/>
      <c r="AC173" s="1"/>
      <c r="AD173" s="1"/>
    </row>
    <row r="174" spans="6:30" x14ac:dyDescent="0.25">
      <c r="F174" t="s">
        <v>208</v>
      </c>
      <c r="G174">
        <v>95</v>
      </c>
      <c r="H174" s="1">
        <f>'Geometry Calculator'!H$10/2*COS(RADIANS('Background calcs'!$G174))+H$65</f>
        <v>-32.247624816633547</v>
      </c>
      <c r="I174" s="1"/>
      <c r="J174" s="1">
        <f>'Geometry Calculator'!J$10/2*COS(RADIANS('Background calcs'!$G174))+J$65</f>
        <v>-32.247624816633547</v>
      </c>
      <c r="K174" s="1"/>
      <c r="L174" s="1">
        <f>'Geometry Calculator'!L$10/2*COS(RADIANS('Background calcs'!$G174))+L$65</f>
        <v>-100032.85771501587</v>
      </c>
      <c r="M174" s="1"/>
      <c r="N174" s="1">
        <f>'Geometry Calculator'!N$10/2*COS(RADIANS('Background calcs'!$G174))+N$65</f>
        <v>-100032.85771501587</v>
      </c>
      <c r="O174" s="1"/>
      <c r="P174" s="1">
        <f>'Geometry Calculator'!P$10/2*COS(RADIANS('Background calcs'!$G174))+P$65</f>
        <v>-100031.6375346174</v>
      </c>
      <c r="Q174" s="1"/>
      <c r="R174" s="1">
        <f>'Geometry Calculator'!R$10/2*COS(RADIANS('Background calcs'!$G174))+R$65</f>
        <v>-100031.6375346174</v>
      </c>
      <c r="S174" s="1"/>
      <c r="T174" s="1">
        <f>'Geometry Calculator'!T$10/2*COS(RADIANS('Background calcs'!$G174))+T$65</f>
        <v>-100032.42193630213</v>
      </c>
      <c r="U174" s="1"/>
      <c r="V174" s="1">
        <f>'Geometry Calculator'!V$10/2*COS(RADIANS('Background calcs'!$G174))+V$65</f>
        <v>-100032.42193630213</v>
      </c>
      <c r="W174" s="1"/>
      <c r="X174" s="1">
        <f>'Geometry Calculator'!X$10/2*COS(RADIANS('Background calcs'!$G174))+X$65</f>
        <v>-100033.33707160098</v>
      </c>
      <c r="Y174" s="1"/>
      <c r="Z174" s="1">
        <f>'Geometry Calculator'!Z$10/2*COS(RADIANS('Background calcs'!$G174))+Z$65</f>
        <v>-100033.33707160098</v>
      </c>
      <c r="AB174" s="159"/>
      <c r="AC174" s="1"/>
      <c r="AD174" s="1"/>
    </row>
    <row r="175" spans="6:30" x14ac:dyDescent="0.25">
      <c r="F175" t="s">
        <v>209</v>
      </c>
      <c r="G175">
        <v>100</v>
      </c>
      <c r="H175" s="1">
        <f>'Geometry Calculator'!H$10/2*COS(RADIANS('Background calcs'!$G175))+H$65</f>
        <v>-64.249825736764208</v>
      </c>
      <c r="I175" s="1"/>
      <c r="J175" s="1">
        <f>'Geometry Calculator'!J$10/2*COS(RADIANS('Background calcs'!$G175))+J$65</f>
        <v>-64.249825736764208</v>
      </c>
      <c r="K175" s="1"/>
      <c r="L175" s="1">
        <f>'Geometry Calculator'!L$10/2*COS(RADIANS('Background calcs'!$G175))+L$65</f>
        <v>-100065.46536298044</v>
      </c>
      <c r="M175" s="1"/>
      <c r="N175" s="1">
        <f>'Geometry Calculator'!N$10/2*COS(RADIANS('Background calcs'!$G175))+N$65</f>
        <v>-100065.46536298044</v>
      </c>
      <c r="O175" s="1"/>
      <c r="P175" s="1">
        <f>'Geometry Calculator'!P$10/2*COS(RADIANS('Background calcs'!$G175))+P$65</f>
        <v>-100063.0342884931</v>
      </c>
      <c r="Q175" s="1"/>
      <c r="R175" s="1">
        <f>'Geometry Calculator'!R$10/2*COS(RADIANS('Background calcs'!$G175))+R$65</f>
        <v>-100063.0342884931</v>
      </c>
      <c r="S175" s="1"/>
      <c r="T175" s="1">
        <f>'Geometry Calculator'!T$10/2*COS(RADIANS('Background calcs'!$G175))+T$65</f>
        <v>-100064.59712209209</v>
      </c>
      <c r="U175" s="1"/>
      <c r="V175" s="1">
        <f>'Geometry Calculator'!V$10/2*COS(RADIANS('Background calcs'!$G175))+V$65</f>
        <v>-100064.59712209209</v>
      </c>
      <c r="W175" s="1"/>
      <c r="X175" s="1">
        <f>'Geometry Calculator'!X$10/2*COS(RADIANS('Background calcs'!$G175))+X$65</f>
        <v>-100066.42042795761</v>
      </c>
      <c r="Y175" s="1"/>
      <c r="Z175" s="1">
        <f>'Geometry Calculator'!Z$10/2*COS(RADIANS('Background calcs'!$G175))+Z$65</f>
        <v>-100066.42042795761</v>
      </c>
      <c r="AB175" s="159"/>
      <c r="AC175" s="1"/>
      <c r="AD175" s="1"/>
    </row>
    <row r="176" spans="6:30" x14ac:dyDescent="0.25">
      <c r="F176" t="s">
        <v>133</v>
      </c>
      <c r="G176">
        <v>105</v>
      </c>
      <c r="H176" s="1">
        <f>'Geometry Calculator'!H$10/2*COS(RADIANS('Background calcs'!$G176))+H$65</f>
        <v>-95.763046687932714</v>
      </c>
      <c r="I176" s="1"/>
      <c r="J176" s="1">
        <f>'Geometry Calculator'!J$10/2*COS(RADIANS('Background calcs'!$G176))+J$65</f>
        <v>-95.763046687932714</v>
      </c>
      <c r="K176" s="1"/>
      <c r="L176" s="1">
        <f>'Geometry Calculator'!L$10/2*COS(RADIANS('Background calcs'!$G176))+L$65</f>
        <v>-100097.57478000365</v>
      </c>
      <c r="M176" s="1"/>
      <c r="N176" s="1">
        <f>'Geometry Calculator'!N$10/2*COS(RADIANS('Background calcs'!$G176))+N$65</f>
        <v>-100097.57478000365</v>
      </c>
      <c r="O176" s="1"/>
      <c r="P176" s="1">
        <f>'Geometry Calculator'!P$10/2*COS(RADIANS('Background calcs'!$G176))+P$65</f>
        <v>-100093.95131337222</v>
      </c>
      <c r="Q176" s="1"/>
      <c r="R176" s="1">
        <f>'Geometry Calculator'!R$10/2*COS(RADIANS('Background calcs'!$G176))+R$65</f>
        <v>-100093.95131337222</v>
      </c>
      <c r="S176" s="1"/>
      <c r="T176" s="1">
        <f>'Geometry Calculator'!T$10/2*COS(RADIANS('Background calcs'!$G176))+T$65</f>
        <v>-100096.28068477813</v>
      </c>
      <c r="U176" s="1"/>
      <c r="V176" s="1">
        <f>'Geometry Calculator'!V$10/2*COS(RADIANS('Background calcs'!$G176))+V$65</f>
        <v>-100096.28068477813</v>
      </c>
      <c r="W176" s="1"/>
      <c r="X176" s="1">
        <f>'Geometry Calculator'!X$10/2*COS(RADIANS('Background calcs'!$G176))+X$65</f>
        <v>-100098.99828475171</v>
      </c>
      <c r="Y176" s="1"/>
      <c r="Z176" s="1">
        <f>'Geometry Calculator'!Z$10/2*COS(RADIANS('Background calcs'!$G176))+Z$65</f>
        <v>-100098.99828475171</v>
      </c>
      <c r="AB176" s="159"/>
      <c r="AC176" s="1"/>
      <c r="AD176" s="1"/>
    </row>
    <row r="177" spans="6:30" x14ac:dyDescent="0.25">
      <c r="F177" t="s">
        <v>210</v>
      </c>
      <c r="G177">
        <v>110</v>
      </c>
      <c r="H177" s="1">
        <f>'Geometry Calculator'!H$10/2*COS(RADIANS('Background calcs'!$G177))+H$65</f>
        <v>-126.54745303049742</v>
      </c>
      <c r="I177" s="1"/>
      <c r="J177" s="1">
        <f>'Geometry Calculator'!J$10/2*COS(RADIANS('Background calcs'!$G177))+J$65</f>
        <v>-126.54745303049742</v>
      </c>
      <c r="K177" s="1"/>
      <c r="L177" s="1">
        <f>'Geometry Calculator'!L$10/2*COS(RADIANS('Background calcs'!$G177))+L$65</f>
        <v>-100128.94159403378</v>
      </c>
      <c r="M177" s="1"/>
      <c r="N177" s="1">
        <f>'Geometry Calculator'!N$10/2*COS(RADIANS('Background calcs'!$G177))+N$65</f>
        <v>-100128.94159403378</v>
      </c>
      <c r="O177" s="1"/>
      <c r="P177" s="1">
        <f>'Geometry Calculator'!P$10/2*COS(RADIANS('Background calcs'!$G177))+P$65</f>
        <v>-100124.15331202722</v>
      </c>
      <c r="Q177" s="1"/>
      <c r="R177" s="1">
        <f>'Geometry Calculator'!R$10/2*COS(RADIANS('Background calcs'!$G177))+R$65</f>
        <v>-100124.15331202722</v>
      </c>
      <c r="S177" s="1"/>
      <c r="T177" s="1">
        <f>'Geometry Calculator'!T$10/2*COS(RADIANS('Background calcs'!$G177))+T$65</f>
        <v>-100127.23149331714</v>
      </c>
      <c r="U177" s="1"/>
      <c r="V177" s="1">
        <f>'Geometry Calculator'!V$10/2*COS(RADIANS('Background calcs'!$G177))+V$65</f>
        <v>-100127.23149331714</v>
      </c>
      <c r="W177" s="1"/>
      <c r="X177" s="1">
        <f>'Geometry Calculator'!X$10/2*COS(RADIANS('Background calcs'!$G177))+X$65</f>
        <v>-100130.82270482207</v>
      </c>
      <c r="Y177" s="1"/>
      <c r="Z177" s="1">
        <f>'Geometry Calculator'!Z$10/2*COS(RADIANS('Background calcs'!$G177))+Z$65</f>
        <v>-100130.82270482207</v>
      </c>
      <c r="AB177" s="159"/>
      <c r="AC177" s="1"/>
      <c r="AD177" s="1"/>
    </row>
    <row r="178" spans="6:30" x14ac:dyDescent="0.25">
      <c r="F178" t="s">
        <v>211</v>
      </c>
      <c r="G178">
        <v>115</v>
      </c>
      <c r="H178" s="1">
        <f>'Geometry Calculator'!H$10/2*COS(RADIANS('Background calcs'!$G178))+H$65</f>
        <v>-156.36875684405877</v>
      </c>
      <c r="I178" s="1"/>
      <c r="J178" s="1">
        <f>'Geometry Calculator'!J$10/2*COS(RADIANS('Background calcs'!$G178))+J$65</f>
        <v>-156.36875684405877</v>
      </c>
      <c r="K178" s="1"/>
      <c r="L178" s="1">
        <f>'Geometry Calculator'!L$10/2*COS(RADIANS('Background calcs'!$G178))+L$65</f>
        <v>-100159.32708467625</v>
      </c>
      <c r="M178" s="1"/>
      <c r="N178" s="1">
        <f>'Geometry Calculator'!N$10/2*COS(RADIANS('Background calcs'!$G178))+N$65</f>
        <v>-100159.32708467625</v>
      </c>
      <c r="O178" s="1"/>
      <c r="P178" s="1">
        <f>'Geometry Calculator'!P$10/2*COS(RADIANS('Background calcs'!$G178))+P$65</f>
        <v>-100153.41042901187</v>
      </c>
      <c r="Q178" s="1"/>
      <c r="R178" s="1">
        <f>'Geometry Calculator'!R$10/2*COS(RADIANS('Background calcs'!$G178))+R$65</f>
        <v>-100153.41042901187</v>
      </c>
      <c r="S178" s="1"/>
      <c r="T178" s="1">
        <f>'Geometry Calculator'!T$10/2*COS(RADIANS('Background calcs'!$G178))+T$65</f>
        <v>-100157.21399336754</v>
      </c>
      <c r="U178" s="1"/>
      <c r="V178" s="1">
        <f>'Geometry Calculator'!V$10/2*COS(RADIANS('Background calcs'!$G178))+V$65</f>
        <v>-100157.21399336754</v>
      </c>
      <c r="W178" s="1"/>
      <c r="X178" s="1">
        <f>'Geometry Calculator'!X$10/2*COS(RADIANS('Background calcs'!$G178))+X$65</f>
        <v>-100161.65148511581</v>
      </c>
      <c r="Y178" s="1"/>
      <c r="Z178" s="1">
        <f>'Geometry Calculator'!Z$10/2*COS(RADIANS('Background calcs'!$G178))+Z$65</f>
        <v>-100161.65148511581</v>
      </c>
      <c r="AB178" s="159"/>
      <c r="AC178" s="1"/>
      <c r="AD178" s="1"/>
    </row>
    <row r="179" spans="6:30" x14ac:dyDescent="0.25">
      <c r="F179" t="s">
        <v>134</v>
      </c>
      <c r="G179">
        <v>120</v>
      </c>
      <c r="H179" s="1">
        <f>'Geometry Calculator'!H$10/2*COS(RADIANS('Background calcs'!$G179))+H$65</f>
        <v>-184.99999999999991</v>
      </c>
      <c r="I179" s="1"/>
      <c r="J179" s="1">
        <f>'Geometry Calculator'!J$10/2*COS(RADIANS('Background calcs'!$G179))+J$65</f>
        <v>-184.99999999999991</v>
      </c>
      <c r="K179" s="1"/>
      <c r="L179" s="1">
        <f>'Geometry Calculator'!L$10/2*COS(RADIANS('Background calcs'!$G179))+L$65</f>
        <v>-100188.5</v>
      </c>
      <c r="M179" s="1"/>
      <c r="N179" s="1">
        <f>'Geometry Calculator'!N$10/2*COS(RADIANS('Background calcs'!$G179))+N$65</f>
        <v>-100188.5</v>
      </c>
      <c r="O179" s="1"/>
      <c r="P179" s="1">
        <f>'Geometry Calculator'!P$10/2*COS(RADIANS('Background calcs'!$G179))+P$65</f>
        <v>-100181.5</v>
      </c>
      <c r="Q179" s="1"/>
      <c r="R179" s="1">
        <f>'Geometry Calculator'!R$10/2*COS(RADIANS('Background calcs'!$G179))+R$65</f>
        <v>-100181.5</v>
      </c>
      <c r="S179" s="1"/>
      <c r="T179" s="1">
        <f>'Geometry Calculator'!T$10/2*COS(RADIANS('Background calcs'!$G179))+T$65</f>
        <v>-100186</v>
      </c>
      <c r="U179" s="1"/>
      <c r="V179" s="1">
        <f>'Geometry Calculator'!V$10/2*COS(RADIANS('Background calcs'!$G179))+V$65</f>
        <v>-100186</v>
      </c>
      <c r="W179" s="1"/>
      <c r="X179" s="1">
        <f>'Geometry Calculator'!X$10/2*COS(RADIANS('Background calcs'!$G179))+X$65</f>
        <v>-100191.25</v>
      </c>
      <c r="Y179" s="1"/>
      <c r="Z179" s="1">
        <f>'Geometry Calculator'!Z$10/2*COS(RADIANS('Background calcs'!$G179))+Z$65</f>
        <v>-100191.25</v>
      </c>
      <c r="AB179" s="159"/>
      <c r="AC179" s="1"/>
      <c r="AD179" s="1"/>
    </row>
    <row r="180" spans="6:30" x14ac:dyDescent="0.25">
      <c r="F180" t="s">
        <v>212</v>
      </c>
      <c r="G180">
        <v>125</v>
      </c>
      <c r="H180" s="1">
        <f>'Geometry Calculator'!H$10/2*COS(RADIANS('Background calcs'!$G180))+H$65</f>
        <v>-212.22328144988708</v>
      </c>
      <c r="I180" s="1"/>
      <c r="J180" s="1">
        <f>'Geometry Calculator'!J$10/2*COS(RADIANS('Background calcs'!$G180))+J$65</f>
        <v>-212.22328144988708</v>
      </c>
      <c r="K180" s="1"/>
      <c r="L180" s="1">
        <f>'Geometry Calculator'!L$10/2*COS(RADIANS('Background calcs'!$G180))+L$65</f>
        <v>-100216.23831650434</v>
      </c>
      <c r="M180" s="1"/>
      <c r="N180" s="1">
        <f>'Geometry Calculator'!N$10/2*COS(RADIANS('Background calcs'!$G180))+N$65</f>
        <v>-100216.23831650434</v>
      </c>
      <c r="O180" s="1"/>
      <c r="P180" s="1">
        <f>'Geometry Calculator'!P$10/2*COS(RADIANS('Background calcs'!$G180))+P$65</f>
        <v>-100208.20824639543</v>
      </c>
      <c r="Q180" s="1"/>
      <c r="R180" s="1">
        <f>'Geometry Calculator'!R$10/2*COS(RADIANS('Background calcs'!$G180))+R$65</f>
        <v>-100208.20824639543</v>
      </c>
      <c r="S180" s="1"/>
      <c r="T180" s="1">
        <f>'Geometry Calculator'!T$10/2*COS(RADIANS('Background calcs'!$G180))+T$65</f>
        <v>-100213.37043432258</v>
      </c>
      <c r="U180" s="1"/>
      <c r="V180" s="1">
        <f>'Geometry Calculator'!V$10/2*COS(RADIANS('Background calcs'!$G180))+V$65</f>
        <v>-100213.37043432258</v>
      </c>
      <c r="W180" s="1"/>
      <c r="X180" s="1">
        <f>'Geometry Calculator'!X$10/2*COS(RADIANS('Background calcs'!$G180))+X$65</f>
        <v>-100219.39298690428</v>
      </c>
      <c r="Y180" s="1"/>
      <c r="Z180" s="1">
        <f>'Geometry Calculator'!Z$10/2*COS(RADIANS('Background calcs'!$G180))+Z$65</f>
        <v>-100219.39298690428</v>
      </c>
      <c r="AB180" s="159"/>
      <c r="AC180" s="1"/>
      <c r="AD180" s="1"/>
    </row>
    <row r="181" spans="6:30" x14ac:dyDescent="0.25">
      <c r="F181" t="s">
        <v>213</v>
      </c>
      <c r="G181">
        <v>130</v>
      </c>
      <c r="H181" s="1">
        <f>'Geometry Calculator'!H$10/2*COS(RADIANS('Background calcs'!$G181))+H$65</f>
        <v>-237.83141558401957</v>
      </c>
      <c r="I181" s="1"/>
      <c r="J181" s="1">
        <f>'Geometry Calculator'!J$10/2*COS(RADIANS('Background calcs'!$G181))+J$65</f>
        <v>-237.83141558401957</v>
      </c>
      <c r="K181" s="1"/>
      <c r="L181" s="1">
        <f>'Geometry Calculator'!L$10/2*COS(RADIANS('Background calcs'!$G181))+L$65</f>
        <v>-100242.33092885182</v>
      </c>
      <c r="M181" s="1"/>
      <c r="N181" s="1">
        <f>'Geometry Calculator'!N$10/2*COS(RADIANS('Background calcs'!$G181))+N$65</f>
        <v>-100242.33092885182</v>
      </c>
      <c r="O181" s="1"/>
      <c r="P181" s="1">
        <f>'Geometry Calculator'!P$10/2*COS(RADIANS('Background calcs'!$G181))+P$65</f>
        <v>-100233.33190231622</v>
      </c>
      <c r="Q181" s="1"/>
      <c r="R181" s="1">
        <f>'Geometry Calculator'!R$10/2*COS(RADIANS('Background calcs'!$G181))+R$65</f>
        <v>-100233.33190231622</v>
      </c>
      <c r="S181" s="1"/>
      <c r="T181" s="1">
        <f>'Geometry Calculator'!T$10/2*COS(RADIANS('Background calcs'!$G181))+T$65</f>
        <v>-100239.11699080339</v>
      </c>
      <c r="U181" s="1"/>
      <c r="V181" s="1">
        <f>'Geometry Calculator'!V$10/2*COS(RADIANS('Background calcs'!$G181))+V$65</f>
        <v>-100239.11699080339</v>
      </c>
      <c r="W181" s="1"/>
      <c r="X181" s="1">
        <f>'Geometry Calculator'!X$10/2*COS(RADIANS('Background calcs'!$G181))+X$65</f>
        <v>-100245.86626070511</v>
      </c>
      <c r="Y181" s="1"/>
      <c r="Z181" s="1">
        <f>'Geometry Calculator'!Z$10/2*COS(RADIANS('Background calcs'!$G181))+Z$65</f>
        <v>-100245.86626070511</v>
      </c>
      <c r="AB181" s="159"/>
      <c r="AC181" s="1"/>
      <c r="AD181" s="1"/>
    </row>
    <row r="182" spans="6:30" x14ac:dyDescent="0.25">
      <c r="F182" t="s">
        <v>135</v>
      </c>
      <c r="G182">
        <v>135</v>
      </c>
      <c r="H182" s="1">
        <f>'Geometry Calculator'!H$10/2*COS(RADIANS('Background calcs'!$G182))+H$65</f>
        <v>-261.62950903902254</v>
      </c>
      <c r="I182" s="1"/>
      <c r="J182" s="1">
        <f>'Geometry Calculator'!J$10/2*COS(RADIANS('Background calcs'!$G182))+J$65</f>
        <v>-261.62950903902254</v>
      </c>
      <c r="K182" s="1"/>
      <c r="L182" s="1">
        <f>'Geometry Calculator'!L$10/2*COS(RADIANS('Background calcs'!$G182))+L$65</f>
        <v>-100266.57925650734</v>
      </c>
      <c r="M182" s="1"/>
      <c r="N182" s="1">
        <f>'Geometry Calculator'!N$10/2*COS(RADIANS('Background calcs'!$G182))+N$65</f>
        <v>-100266.57925650734</v>
      </c>
      <c r="O182" s="1"/>
      <c r="P182" s="1">
        <f>'Geometry Calculator'!P$10/2*COS(RADIANS('Background calcs'!$G182))+P$65</f>
        <v>-100256.67976157072</v>
      </c>
      <c r="Q182" s="1"/>
      <c r="R182" s="1">
        <f>'Geometry Calculator'!R$10/2*COS(RADIANS('Background calcs'!$G182))+R$65</f>
        <v>-100256.67976157072</v>
      </c>
      <c r="S182" s="1"/>
      <c r="T182" s="1">
        <f>'Geometry Calculator'!T$10/2*COS(RADIANS('Background calcs'!$G182))+T$65</f>
        <v>-100263.04372260139</v>
      </c>
      <c r="U182" s="1"/>
      <c r="V182" s="1">
        <f>'Geometry Calculator'!V$10/2*COS(RADIANS('Background calcs'!$G182))+V$65</f>
        <v>-100263.04372260139</v>
      </c>
      <c r="W182" s="1"/>
      <c r="X182" s="1">
        <f>'Geometry Calculator'!X$10/2*COS(RADIANS('Background calcs'!$G182))+X$65</f>
        <v>-100270.46834380385</v>
      </c>
      <c r="Y182" s="1"/>
      <c r="Z182" s="1">
        <f>'Geometry Calculator'!Z$10/2*COS(RADIANS('Background calcs'!$G182))+Z$65</f>
        <v>-100270.46834380385</v>
      </c>
      <c r="AB182" s="159"/>
      <c r="AC182" s="1"/>
      <c r="AD182" s="1"/>
    </row>
    <row r="183" spans="6:30" x14ac:dyDescent="0.25">
      <c r="F183" t="s">
        <v>214</v>
      </c>
      <c r="G183">
        <v>140</v>
      </c>
      <c r="H183" s="1">
        <f>'Geometry Calculator'!H$10/2*COS(RADIANS('Background calcs'!$G183))+H$65</f>
        <v>-283.4364439540218</v>
      </c>
      <c r="I183" s="1"/>
      <c r="J183" s="1">
        <f>'Geometry Calculator'!J$10/2*COS(RADIANS('Background calcs'!$G183))+J$65</f>
        <v>-283.4364439540218</v>
      </c>
      <c r="K183" s="1"/>
      <c r="L183" s="1">
        <f>'Geometry Calculator'!L$10/2*COS(RADIANS('Background calcs'!$G183))+L$65</f>
        <v>-100288.79875505586</v>
      </c>
      <c r="M183" s="1"/>
      <c r="N183" s="1">
        <f>'Geometry Calculator'!N$10/2*COS(RADIANS('Background calcs'!$G183))+N$65</f>
        <v>-100288.79875505586</v>
      </c>
      <c r="O183" s="1"/>
      <c r="P183" s="1">
        <f>'Geometry Calculator'!P$10/2*COS(RADIANS('Background calcs'!$G183))+P$65</f>
        <v>-100278.07413285218</v>
      </c>
      <c r="Q183" s="1"/>
      <c r="R183" s="1">
        <f>'Geometry Calculator'!R$10/2*COS(RADIANS('Background calcs'!$G183))+R$65</f>
        <v>-100278.07413285218</v>
      </c>
      <c r="S183" s="1"/>
      <c r="T183" s="1">
        <f>'Geometry Calculator'!T$10/2*COS(RADIANS('Background calcs'!$G183))+T$65</f>
        <v>-100284.96853284026</v>
      </c>
      <c r="U183" s="1"/>
      <c r="V183" s="1">
        <f>'Geometry Calculator'!V$10/2*COS(RADIANS('Background calcs'!$G183))+V$65</f>
        <v>-100284.96853284026</v>
      </c>
      <c r="W183" s="1"/>
      <c r="X183" s="1">
        <f>'Geometry Calculator'!X$10/2*COS(RADIANS('Background calcs'!$G183))+X$65</f>
        <v>-100293.01199949301</v>
      </c>
      <c r="Y183" s="1"/>
      <c r="Z183" s="1">
        <f>'Geometry Calculator'!Z$10/2*COS(RADIANS('Background calcs'!$G183))+Z$65</f>
        <v>-100293.01199949301</v>
      </c>
      <c r="AB183" s="159"/>
      <c r="AC183" s="1"/>
      <c r="AD183" s="1"/>
    </row>
    <row r="184" spans="6:30" x14ac:dyDescent="0.25">
      <c r="F184" t="s">
        <v>215</v>
      </c>
      <c r="G184">
        <v>145</v>
      </c>
      <c r="H184" s="1">
        <f>'Geometry Calculator'!H$10/2*COS(RADIANS('Background calcs'!$G184))+H$65</f>
        <v>-303.086256386927</v>
      </c>
      <c r="I184" s="1"/>
      <c r="J184" s="1">
        <f>'Geometry Calculator'!J$10/2*COS(RADIANS('Background calcs'!$G184))+J$65</f>
        <v>-303.086256386927</v>
      </c>
      <c r="K184" s="1"/>
      <c r="L184" s="1">
        <f>'Geometry Calculator'!L$10/2*COS(RADIANS('Background calcs'!$G184))+L$65</f>
        <v>-100308.82032069695</v>
      </c>
      <c r="M184" s="1"/>
      <c r="N184" s="1">
        <f>'Geometry Calculator'!N$10/2*COS(RADIANS('Background calcs'!$G184))+N$65</f>
        <v>-100308.82032069695</v>
      </c>
      <c r="O184" s="1"/>
      <c r="P184" s="1">
        <f>'Geometry Calculator'!P$10/2*COS(RADIANS('Background calcs'!$G184))+P$65</f>
        <v>-100297.3521920769</v>
      </c>
      <c r="Q184" s="1"/>
      <c r="R184" s="1">
        <f>'Geometry Calculator'!R$10/2*COS(RADIANS('Background calcs'!$G184))+R$65</f>
        <v>-100297.3521920769</v>
      </c>
      <c r="S184" s="1"/>
      <c r="T184" s="1">
        <f>'Geometry Calculator'!T$10/2*COS(RADIANS('Background calcs'!$G184))+T$65</f>
        <v>-100304.7245604755</v>
      </c>
      <c r="U184" s="1"/>
      <c r="V184" s="1">
        <f>'Geometry Calculator'!V$10/2*COS(RADIANS('Background calcs'!$G184))+V$65</f>
        <v>-100304.7245604755</v>
      </c>
      <c r="W184" s="1"/>
      <c r="X184" s="1">
        <f>'Geometry Calculator'!X$10/2*COS(RADIANS('Background calcs'!$G184))+X$65</f>
        <v>-100313.32565694053</v>
      </c>
      <c r="Y184" s="1"/>
      <c r="Z184" s="1">
        <f>'Geometry Calculator'!Z$10/2*COS(RADIANS('Background calcs'!$G184))+Z$65</f>
        <v>-100313.32565694053</v>
      </c>
      <c r="AB184" s="159"/>
      <c r="AC184" s="1"/>
      <c r="AD184" s="1"/>
    </row>
    <row r="185" spans="6:30" x14ac:dyDescent="0.25">
      <c r="F185" t="s">
        <v>136</v>
      </c>
      <c r="G185">
        <v>150</v>
      </c>
      <c r="H185" s="1">
        <f>'Geometry Calculator'!H$10/2*COS(RADIANS('Background calcs'!$G185))+H$65</f>
        <v>-320.42939940024235</v>
      </c>
      <c r="I185" s="1"/>
      <c r="J185" s="1">
        <f>'Geometry Calculator'!J$10/2*COS(RADIANS('Background calcs'!$G185))+J$65</f>
        <v>-320.42939940024235</v>
      </c>
      <c r="K185" s="1"/>
      <c r="L185" s="1">
        <f>'Geometry Calculator'!L$10/2*COS(RADIANS('Background calcs'!$G185))+L$65</f>
        <v>-100326.49157722673</v>
      </c>
      <c r="M185" s="1"/>
      <c r="N185" s="1">
        <f>'Geometry Calculator'!N$10/2*COS(RADIANS('Background calcs'!$G185))+N$65</f>
        <v>-100326.49157722673</v>
      </c>
      <c r="O185" s="1"/>
      <c r="P185" s="1">
        <f>'Geometry Calculator'!P$10/2*COS(RADIANS('Background calcs'!$G185))+P$65</f>
        <v>-100314.36722157375</v>
      </c>
      <c r="Q185" s="1"/>
      <c r="R185" s="1">
        <f>'Geometry Calculator'!R$10/2*COS(RADIANS('Background calcs'!$G185))+R$65</f>
        <v>-100314.36722157375</v>
      </c>
      <c r="S185" s="1"/>
      <c r="T185" s="1">
        <f>'Geometry Calculator'!T$10/2*COS(RADIANS('Background calcs'!$G185))+T$65</f>
        <v>-100322.16145020782</v>
      </c>
      <c r="U185" s="1"/>
      <c r="V185" s="1">
        <f>'Geometry Calculator'!V$10/2*COS(RADIANS('Background calcs'!$G185))+V$65</f>
        <v>-100322.16145020782</v>
      </c>
      <c r="W185" s="1"/>
      <c r="X185" s="1">
        <f>'Geometry Calculator'!X$10/2*COS(RADIANS('Background calcs'!$G185))+X$65</f>
        <v>-100331.25471694754</v>
      </c>
      <c r="Y185" s="1"/>
      <c r="Z185" s="1">
        <f>'Geometry Calculator'!Z$10/2*COS(RADIANS('Background calcs'!$G185))+Z$65</f>
        <v>-100331.25471694754</v>
      </c>
      <c r="AB185" s="159"/>
      <c r="AC185" s="1"/>
      <c r="AD185" s="1"/>
    </row>
    <row r="186" spans="6:30" x14ac:dyDescent="0.25">
      <c r="F186" t="s">
        <v>216</v>
      </c>
      <c r="G186">
        <v>155</v>
      </c>
      <c r="H186" s="1">
        <f>'Geometry Calculator'!H$10/2*COS(RADIANS('Background calcs'!$G186))+H$65</f>
        <v>-335.33388120356045</v>
      </c>
      <c r="I186" s="1"/>
      <c r="J186" s="1">
        <f>'Geometry Calculator'!J$10/2*COS(RADIANS('Background calcs'!$G186))+J$65</f>
        <v>-335.33388120356045</v>
      </c>
      <c r="K186" s="1"/>
      <c r="L186" s="1">
        <f>'Geometry Calculator'!L$10/2*COS(RADIANS('Background calcs'!$G186))+L$65</f>
        <v>-100341.67803571282</v>
      </c>
      <c r="M186" s="1"/>
      <c r="N186" s="1">
        <f>'Geometry Calculator'!N$10/2*COS(RADIANS('Background calcs'!$G186))+N$65</f>
        <v>-100341.67803571282</v>
      </c>
      <c r="O186" s="1"/>
      <c r="P186" s="1">
        <f>'Geometry Calculator'!P$10/2*COS(RADIANS('Background calcs'!$G186))+P$65</f>
        <v>-100328.9897266943</v>
      </c>
      <c r="Q186" s="1"/>
      <c r="R186" s="1">
        <f>'Geometry Calculator'!R$10/2*COS(RADIANS('Background calcs'!$G186))+R$65</f>
        <v>-100328.9897266943</v>
      </c>
      <c r="S186" s="1"/>
      <c r="T186" s="1">
        <f>'Geometry Calculator'!T$10/2*COS(RADIANS('Background calcs'!$G186))+T$65</f>
        <v>-100337.14649677764</v>
      </c>
      <c r="U186" s="1"/>
      <c r="V186" s="1">
        <f>'Geometry Calculator'!V$10/2*COS(RADIANS('Background calcs'!$G186))+V$65</f>
        <v>-100337.14649677764</v>
      </c>
      <c r="W186" s="1"/>
      <c r="X186" s="1">
        <f>'Geometry Calculator'!X$10/2*COS(RADIANS('Background calcs'!$G186))+X$65</f>
        <v>-100346.66272854152</v>
      </c>
      <c r="Y186" s="1"/>
      <c r="Z186" s="1">
        <f>'Geometry Calculator'!Z$10/2*COS(RADIANS('Background calcs'!$G186))+Z$65</f>
        <v>-100346.66272854152</v>
      </c>
      <c r="AB186" s="159"/>
      <c r="AC186" s="1"/>
      <c r="AD186" s="1"/>
    </row>
    <row r="187" spans="6:30" x14ac:dyDescent="0.25">
      <c r="F187" t="s">
        <v>217</v>
      </c>
      <c r="G187">
        <v>160</v>
      </c>
      <c r="H187" s="1">
        <f>'Geometry Calculator'!H$10/2*COS(RADIANS('Background calcs'!$G187))+H$65</f>
        <v>-347.68626969078611</v>
      </c>
      <c r="I187" s="1"/>
      <c r="J187" s="1">
        <f>'Geometry Calculator'!J$10/2*COS(RADIANS('Background calcs'!$G187))+J$65</f>
        <v>-347.68626969078611</v>
      </c>
      <c r="K187" s="1"/>
      <c r="L187" s="1">
        <f>'Geometry Calculator'!L$10/2*COS(RADIANS('Background calcs'!$G187))+L$65</f>
        <v>-100354.26411803628</v>
      </c>
      <c r="M187" s="1"/>
      <c r="N187" s="1">
        <f>'Geometry Calculator'!N$10/2*COS(RADIANS('Background calcs'!$G187))+N$65</f>
        <v>-100354.26411803628</v>
      </c>
      <c r="O187" s="1"/>
      <c r="P187" s="1">
        <f>'Geometry Calculator'!P$10/2*COS(RADIANS('Background calcs'!$G187))+P$65</f>
        <v>-100341.10842134529</v>
      </c>
      <c r="Q187" s="1"/>
      <c r="R187" s="1">
        <f>'Geometry Calculator'!R$10/2*COS(RADIANS('Background calcs'!$G187))+R$65</f>
        <v>-100341.10842134529</v>
      </c>
      <c r="S187" s="1"/>
      <c r="T187" s="1">
        <f>'Geometry Calculator'!T$10/2*COS(RADIANS('Background calcs'!$G187))+T$65</f>
        <v>-100349.56565493236</v>
      </c>
      <c r="U187" s="1"/>
      <c r="V187" s="1">
        <f>'Geometry Calculator'!V$10/2*COS(RADIANS('Background calcs'!$G187))+V$65</f>
        <v>-100349.56565493236</v>
      </c>
      <c r="W187" s="1"/>
      <c r="X187" s="1">
        <f>'Geometry Calculator'!X$10/2*COS(RADIANS('Background calcs'!$G187))+X$65</f>
        <v>-100359.43242745061</v>
      </c>
      <c r="Y187" s="1"/>
      <c r="Z187" s="1">
        <f>'Geometry Calculator'!Z$10/2*COS(RADIANS('Background calcs'!$G187))+Z$65</f>
        <v>-100359.43242745061</v>
      </c>
      <c r="AB187" s="159"/>
      <c r="AC187" s="1"/>
      <c r="AD187" s="1"/>
    </row>
    <row r="188" spans="6:30" x14ac:dyDescent="0.25">
      <c r="F188" t="s">
        <v>137</v>
      </c>
      <c r="G188">
        <v>165</v>
      </c>
      <c r="H188" s="1">
        <f>'Geometry Calculator'!H$10/2*COS(RADIANS('Background calcs'!$G188))+H$65</f>
        <v>-357.39255572695521</v>
      </c>
      <c r="I188" s="1"/>
      <c r="J188" s="1">
        <f>'Geometry Calculator'!J$10/2*COS(RADIANS('Background calcs'!$G188))+J$65</f>
        <v>-357.39255572695521</v>
      </c>
      <c r="K188" s="1"/>
      <c r="L188" s="1">
        <f>'Geometry Calculator'!L$10/2*COS(RADIANS('Background calcs'!$G188))+L$65</f>
        <v>-100364.15403651098</v>
      </c>
      <c r="M188" s="1"/>
      <c r="N188" s="1">
        <f>'Geometry Calculator'!N$10/2*COS(RADIANS('Background calcs'!$G188))+N$65</f>
        <v>-100364.15403651098</v>
      </c>
      <c r="O188" s="1"/>
      <c r="P188" s="1">
        <f>'Geometry Calculator'!P$10/2*COS(RADIANS('Background calcs'!$G188))+P$65</f>
        <v>-100350.63107494292</v>
      </c>
      <c r="Q188" s="1"/>
      <c r="R188" s="1">
        <f>'Geometry Calculator'!R$10/2*COS(RADIANS('Background calcs'!$G188))+R$65</f>
        <v>-100350.63107494292</v>
      </c>
      <c r="S188" s="1"/>
      <c r="T188" s="1">
        <f>'Geometry Calculator'!T$10/2*COS(RADIANS('Background calcs'!$G188))+T$65</f>
        <v>-100359.32440737954</v>
      </c>
      <c r="U188" s="1"/>
      <c r="V188" s="1">
        <f>'Geometry Calculator'!V$10/2*COS(RADIANS('Background calcs'!$G188))+V$65</f>
        <v>-100359.32440737954</v>
      </c>
      <c r="W188" s="1"/>
      <c r="X188" s="1">
        <f>'Geometry Calculator'!X$10/2*COS(RADIANS('Background calcs'!$G188))+X$65</f>
        <v>-100369.46662855557</v>
      </c>
      <c r="Y188" s="1"/>
      <c r="Z188" s="1">
        <f>'Geometry Calculator'!Z$10/2*COS(RADIANS('Background calcs'!$G188))+Z$65</f>
        <v>-100369.46662855557</v>
      </c>
      <c r="AB188" s="159"/>
      <c r="AC188" s="1"/>
      <c r="AD188" s="1"/>
    </row>
    <row r="189" spans="6:30" x14ac:dyDescent="0.25">
      <c r="F189" t="s">
        <v>218</v>
      </c>
      <c r="G189">
        <v>170</v>
      </c>
      <c r="H189" s="1">
        <f>'Geometry Calculator'!H$10/2*COS(RADIANS('Background calcs'!$G189))+H$65</f>
        <v>-364.37886861451699</v>
      </c>
      <c r="I189" s="1"/>
      <c r="J189" s="1">
        <f>'Geometry Calculator'!J$10/2*COS(RADIANS('Background calcs'!$G189))+J$65</f>
        <v>-364.37886861451699</v>
      </c>
      <c r="K189" s="1"/>
      <c r="L189" s="1">
        <f>'Geometry Calculator'!L$10/2*COS(RADIANS('Background calcs'!$G189))+L$65</f>
        <v>-100371.2725228856</v>
      </c>
      <c r="M189" s="1"/>
      <c r="N189" s="1">
        <f>'Geometry Calculator'!N$10/2*COS(RADIANS('Background calcs'!$G189))+N$65</f>
        <v>-100371.2725228856</v>
      </c>
      <c r="O189" s="1"/>
      <c r="P189" s="1">
        <f>'Geometry Calculator'!P$10/2*COS(RADIANS('Background calcs'!$G189))+P$65</f>
        <v>-100357.48521434343</v>
      </c>
      <c r="Q189" s="1"/>
      <c r="R189" s="1">
        <f>'Geometry Calculator'!R$10/2*COS(RADIANS('Background calcs'!$G189))+R$65</f>
        <v>-100357.48521434343</v>
      </c>
      <c r="S189" s="1"/>
      <c r="T189" s="1">
        <f>'Geometry Calculator'!T$10/2*COS(RADIANS('Background calcs'!$G189))+T$65</f>
        <v>-100366.34848412054</v>
      </c>
      <c r="U189" s="1"/>
      <c r="V189" s="1">
        <f>'Geometry Calculator'!V$10/2*COS(RADIANS('Background calcs'!$G189))+V$65</f>
        <v>-100366.34848412054</v>
      </c>
      <c r="W189" s="1"/>
      <c r="X189" s="1">
        <f>'Geometry Calculator'!X$10/2*COS(RADIANS('Background calcs'!$G189))+X$65</f>
        <v>-100376.68896552717</v>
      </c>
      <c r="Y189" s="1"/>
      <c r="Z189" s="1">
        <f>'Geometry Calculator'!Z$10/2*COS(RADIANS('Background calcs'!$G189))+Z$65</f>
        <v>-100376.68896552717</v>
      </c>
      <c r="AB189" s="159"/>
      <c r="AC189" s="1"/>
      <c r="AD189" s="1"/>
    </row>
    <row r="190" spans="6:30" x14ac:dyDescent="0.25">
      <c r="F190" t="s">
        <v>219</v>
      </c>
      <c r="G190">
        <v>175</v>
      </c>
      <c r="H190" s="1">
        <f>'Geometry Calculator'!H$10/2*COS(RADIANS('Background calcs'!$G190))+H$65</f>
        <v>-368.59203829394585</v>
      </c>
      <c r="I190" s="1"/>
      <c r="J190" s="1">
        <f>'Geometry Calculator'!J$10/2*COS(RADIANS('Background calcs'!$G190))+J$65</f>
        <v>-368.59203829394585</v>
      </c>
      <c r="K190" s="1"/>
      <c r="L190" s="1">
        <f>'Geometry Calculator'!L$10/2*COS(RADIANS('Background calcs'!$G190))+L$65</f>
        <v>-100375.56540118059</v>
      </c>
      <c r="M190" s="1"/>
      <c r="N190" s="1">
        <f>'Geometry Calculator'!N$10/2*COS(RADIANS('Background calcs'!$G190))+N$65</f>
        <v>-100375.56540118059</v>
      </c>
      <c r="O190" s="1"/>
      <c r="P190" s="1">
        <f>'Geometry Calculator'!P$10/2*COS(RADIANS('Background calcs'!$G190))+P$65</f>
        <v>-100361.6186754073</v>
      </c>
      <c r="Q190" s="1"/>
      <c r="R190" s="1">
        <f>'Geometry Calculator'!R$10/2*COS(RADIANS('Background calcs'!$G190))+R$65</f>
        <v>-100361.6186754073</v>
      </c>
      <c r="S190" s="1"/>
      <c r="T190" s="1">
        <f>'Geometry Calculator'!T$10/2*COS(RADIANS('Background calcs'!$G190))+T$65</f>
        <v>-100370.58442769013</v>
      </c>
      <c r="U190" s="1"/>
      <c r="V190" s="1">
        <f>'Geometry Calculator'!V$10/2*COS(RADIANS('Background calcs'!$G190))+V$65</f>
        <v>-100370.58442769013</v>
      </c>
      <c r="W190" s="1"/>
      <c r="X190" s="1">
        <f>'Geometry Calculator'!X$10/2*COS(RADIANS('Background calcs'!$G190))+X$65</f>
        <v>-100381.04447202009</v>
      </c>
      <c r="Y190" s="1"/>
      <c r="Z190" s="1">
        <f>'Geometry Calculator'!Z$10/2*COS(RADIANS('Background calcs'!$G190))+Z$65</f>
        <v>-100381.04447202009</v>
      </c>
      <c r="AB190" s="159"/>
      <c r="AC190" s="1"/>
      <c r="AD190" s="1"/>
    </row>
    <row r="191" spans="6:30" x14ac:dyDescent="0.25">
      <c r="F191" t="s">
        <v>138</v>
      </c>
      <c r="G191">
        <v>180</v>
      </c>
      <c r="H191" s="1">
        <f>'Geometry Calculator'!H$10/2*COS(RADIANS('Background calcs'!$G191))+H$65</f>
        <v>-370</v>
      </c>
      <c r="I191" s="1"/>
      <c r="J191" s="1">
        <f>'Geometry Calculator'!J$10/2*COS(RADIANS('Background calcs'!$G191))+J$65</f>
        <v>-370</v>
      </c>
      <c r="K191" s="1"/>
      <c r="L191" s="1">
        <f>'Geometry Calculator'!L$10/2*COS(RADIANS('Background calcs'!$G191))+L$65</f>
        <v>-100377</v>
      </c>
      <c r="M191" s="1"/>
      <c r="N191" s="1">
        <f>'Geometry Calculator'!N$10/2*COS(RADIANS('Background calcs'!$G191))+N$65</f>
        <v>-100377</v>
      </c>
      <c r="O191" s="1"/>
      <c r="P191" s="1">
        <f>'Geometry Calculator'!P$10/2*COS(RADIANS('Background calcs'!$G191))+P$65</f>
        <v>-100363</v>
      </c>
      <c r="Q191" s="1"/>
      <c r="R191" s="1">
        <f>'Geometry Calculator'!R$10/2*COS(RADIANS('Background calcs'!$G191))+R$65</f>
        <v>-100363</v>
      </c>
      <c r="S191" s="1"/>
      <c r="T191" s="1">
        <f>'Geometry Calculator'!T$10/2*COS(RADIANS('Background calcs'!$G191))+T$65</f>
        <v>-100372</v>
      </c>
      <c r="U191" s="1"/>
      <c r="V191" s="1">
        <f>'Geometry Calculator'!V$10/2*COS(RADIANS('Background calcs'!$G191))+V$65</f>
        <v>-100372</v>
      </c>
      <c r="W191" s="1"/>
      <c r="X191" s="1">
        <f>'Geometry Calculator'!X$10/2*COS(RADIANS('Background calcs'!$G191))+X$65</f>
        <v>-100382.5</v>
      </c>
      <c r="Y191" s="1"/>
      <c r="Z191" s="1">
        <f>'Geometry Calculator'!Z$10/2*COS(RADIANS('Background calcs'!$G191))+Z$65</f>
        <v>-100382.5</v>
      </c>
      <c r="AB191" s="159"/>
      <c r="AC191" s="1"/>
      <c r="AD191" s="1"/>
    </row>
    <row r="192" spans="6:30" x14ac:dyDescent="0.25">
      <c r="F192" t="s">
        <v>220</v>
      </c>
      <c r="G192">
        <v>185</v>
      </c>
      <c r="H192" s="1">
        <f>'Geometry Calculator'!H$10/2*COS(RADIANS('Background calcs'!$G192))+H$65</f>
        <v>-368.59203829394585</v>
      </c>
      <c r="I192" s="1"/>
      <c r="J192" s="1">
        <f>'Geometry Calculator'!J$10/2*COS(RADIANS('Background calcs'!$G192))+J$65</f>
        <v>-368.59203829394585</v>
      </c>
      <c r="K192" s="1"/>
      <c r="L192" s="1">
        <f>'Geometry Calculator'!L$10/2*COS(RADIANS('Background calcs'!$G192))+L$65</f>
        <v>-100375.56540118059</v>
      </c>
      <c r="M192" s="1"/>
      <c r="N192" s="1">
        <f>'Geometry Calculator'!N$10/2*COS(RADIANS('Background calcs'!$G192))+N$65</f>
        <v>-100375.56540118059</v>
      </c>
      <c r="O192" s="1"/>
      <c r="P192" s="1">
        <f>'Geometry Calculator'!P$10/2*COS(RADIANS('Background calcs'!$G192))+P$65</f>
        <v>-100361.6186754073</v>
      </c>
      <c r="Q192" s="1"/>
      <c r="R192" s="1">
        <f>'Geometry Calculator'!R$10/2*COS(RADIANS('Background calcs'!$G192))+R$65</f>
        <v>-100361.6186754073</v>
      </c>
      <c r="S192" s="1"/>
      <c r="T192" s="1">
        <f>'Geometry Calculator'!T$10/2*COS(RADIANS('Background calcs'!$G192))+T$65</f>
        <v>-100370.58442769013</v>
      </c>
      <c r="U192" s="1"/>
      <c r="V192" s="1">
        <f>'Geometry Calculator'!V$10/2*COS(RADIANS('Background calcs'!$G192))+V$65</f>
        <v>-100370.58442769013</v>
      </c>
      <c r="W192" s="1"/>
      <c r="X192" s="1">
        <f>'Geometry Calculator'!X$10/2*COS(RADIANS('Background calcs'!$G192))+X$65</f>
        <v>-100381.04447202009</v>
      </c>
      <c r="Y192" s="1"/>
      <c r="Z192" s="1">
        <f>'Geometry Calculator'!Z$10/2*COS(RADIANS('Background calcs'!$G192))+Z$65</f>
        <v>-100381.04447202009</v>
      </c>
      <c r="AB192" s="159"/>
      <c r="AC192" s="1"/>
      <c r="AD192" s="1"/>
    </row>
    <row r="193" spans="6:30" x14ac:dyDescent="0.25">
      <c r="F193" t="s">
        <v>221</v>
      </c>
      <c r="G193">
        <v>190</v>
      </c>
      <c r="H193" s="1">
        <f>'Geometry Calculator'!H$10/2*COS(RADIANS('Background calcs'!$G193))+H$65</f>
        <v>-364.37886861451699</v>
      </c>
      <c r="I193" s="1"/>
      <c r="J193" s="1">
        <f>'Geometry Calculator'!J$10/2*COS(RADIANS('Background calcs'!$G193))+J$65</f>
        <v>-364.37886861451699</v>
      </c>
      <c r="K193" s="1"/>
      <c r="L193" s="1">
        <f>'Geometry Calculator'!L$10/2*COS(RADIANS('Background calcs'!$G193))+L$65</f>
        <v>-100371.2725228856</v>
      </c>
      <c r="M193" s="1"/>
      <c r="N193" s="1">
        <f>'Geometry Calculator'!N$10/2*COS(RADIANS('Background calcs'!$G193))+N$65</f>
        <v>-100371.2725228856</v>
      </c>
      <c r="O193" s="1"/>
      <c r="P193" s="1">
        <f>'Geometry Calculator'!P$10/2*COS(RADIANS('Background calcs'!$G193))+P$65</f>
        <v>-100357.48521434343</v>
      </c>
      <c r="Q193" s="1"/>
      <c r="R193" s="1">
        <f>'Geometry Calculator'!R$10/2*COS(RADIANS('Background calcs'!$G193))+R$65</f>
        <v>-100357.48521434343</v>
      </c>
      <c r="S193" s="1"/>
      <c r="T193" s="1">
        <f>'Geometry Calculator'!T$10/2*COS(RADIANS('Background calcs'!$G193))+T$65</f>
        <v>-100366.34848412054</v>
      </c>
      <c r="U193" s="1"/>
      <c r="V193" s="1">
        <f>'Geometry Calculator'!V$10/2*COS(RADIANS('Background calcs'!$G193))+V$65</f>
        <v>-100366.34848412054</v>
      </c>
      <c r="W193" s="1"/>
      <c r="X193" s="1">
        <f>'Geometry Calculator'!X$10/2*COS(RADIANS('Background calcs'!$G193))+X$65</f>
        <v>-100376.68896552717</v>
      </c>
      <c r="Y193" s="1"/>
      <c r="Z193" s="1">
        <f>'Geometry Calculator'!Z$10/2*COS(RADIANS('Background calcs'!$G193))+Z$65</f>
        <v>-100376.68896552717</v>
      </c>
      <c r="AB193" s="159"/>
      <c r="AC193" s="1"/>
      <c r="AD193" s="1"/>
    </row>
    <row r="194" spans="6:30" x14ac:dyDescent="0.25">
      <c r="F194" t="s">
        <v>139</v>
      </c>
      <c r="G194">
        <v>195</v>
      </c>
      <c r="H194" s="1">
        <f>'Geometry Calculator'!H$10/2*COS(RADIANS('Background calcs'!$G194))+H$65</f>
        <v>-357.39255572695527</v>
      </c>
      <c r="I194" s="1"/>
      <c r="J194" s="1">
        <f>'Geometry Calculator'!J$10/2*COS(RADIANS('Background calcs'!$G194))+J$65</f>
        <v>-357.39255572695527</v>
      </c>
      <c r="K194" s="1"/>
      <c r="L194" s="1">
        <f>'Geometry Calculator'!L$10/2*COS(RADIANS('Background calcs'!$G194))+L$65</f>
        <v>-100364.15403651098</v>
      </c>
      <c r="M194" s="1"/>
      <c r="N194" s="1">
        <f>'Geometry Calculator'!N$10/2*COS(RADIANS('Background calcs'!$G194))+N$65</f>
        <v>-100364.15403651098</v>
      </c>
      <c r="O194" s="1"/>
      <c r="P194" s="1">
        <f>'Geometry Calculator'!P$10/2*COS(RADIANS('Background calcs'!$G194))+P$65</f>
        <v>-100350.63107494292</v>
      </c>
      <c r="Q194" s="1"/>
      <c r="R194" s="1">
        <f>'Geometry Calculator'!R$10/2*COS(RADIANS('Background calcs'!$G194))+R$65</f>
        <v>-100350.63107494292</v>
      </c>
      <c r="S194" s="1"/>
      <c r="T194" s="1">
        <f>'Geometry Calculator'!T$10/2*COS(RADIANS('Background calcs'!$G194))+T$65</f>
        <v>-100359.32440737954</v>
      </c>
      <c r="U194" s="1"/>
      <c r="V194" s="1">
        <f>'Geometry Calculator'!V$10/2*COS(RADIANS('Background calcs'!$G194))+V$65</f>
        <v>-100359.32440737954</v>
      </c>
      <c r="W194" s="1"/>
      <c r="X194" s="1">
        <f>'Geometry Calculator'!X$10/2*COS(RADIANS('Background calcs'!$G194))+X$65</f>
        <v>-100369.46662855557</v>
      </c>
      <c r="Y194" s="1"/>
      <c r="Z194" s="1">
        <f>'Geometry Calculator'!Z$10/2*COS(RADIANS('Background calcs'!$G194))+Z$65</f>
        <v>-100369.46662855557</v>
      </c>
      <c r="AB194" s="159"/>
      <c r="AC194" s="1"/>
      <c r="AD194" s="1"/>
    </row>
    <row r="195" spans="6:30" x14ac:dyDescent="0.25">
      <c r="F195" t="s">
        <v>222</v>
      </c>
      <c r="G195">
        <v>200</v>
      </c>
      <c r="H195" s="1">
        <f>'Geometry Calculator'!H$10/2*COS(RADIANS('Background calcs'!$G195))+H$65</f>
        <v>-347.68626969078611</v>
      </c>
      <c r="I195" s="1"/>
      <c r="J195" s="1">
        <f>'Geometry Calculator'!J$10/2*COS(RADIANS('Background calcs'!$G195))+J$65</f>
        <v>-347.68626969078611</v>
      </c>
      <c r="K195" s="1"/>
      <c r="L195" s="1">
        <f>'Geometry Calculator'!L$10/2*COS(RADIANS('Background calcs'!$G195))+L$65</f>
        <v>-100354.26411803628</v>
      </c>
      <c r="M195" s="1"/>
      <c r="N195" s="1">
        <f>'Geometry Calculator'!N$10/2*COS(RADIANS('Background calcs'!$G195))+N$65</f>
        <v>-100354.26411803628</v>
      </c>
      <c r="O195" s="1"/>
      <c r="P195" s="1">
        <f>'Geometry Calculator'!P$10/2*COS(RADIANS('Background calcs'!$G195))+P$65</f>
        <v>-100341.10842134529</v>
      </c>
      <c r="Q195" s="1"/>
      <c r="R195" s="1">
        <f>'Geometry Calculator'!R$10/2*COS(RADIANS('Background calcs'!$G195))+R$65</f>
        <v>-100341.10842134529</v>
      </c>
      <c r="S195" s="1"/>
      <c r="T195" s="1">
        <f>'Geometry Calculator'!T$10/2*COS(RADIANS('Background calcs'!$G195))+T$65</f>
        <v>-100349.56565493236</v>
      </c>
      <c r="U195" s="1"/>
      <c r="V195" s="1">
        <f>'Geometry Calculator'!V$10/2*COS(RADIANS('Background calcs'!$G195))+V$65</f>
        <v>-100349.56565493236</v>
      </c>
      <c r="W195" s="1"/>
      <c r="X195" s="1">
        <f>'Geometry Calculator'!X$10/2*COS(RADIANS('Background calcs'!$G195))+X$65</f>
        <v>-100359.43242745061</v>
      </c>
      <c r="Y195" s="1"/>
      <c r="Z195" s="1">
        <f>'Geometry Calculator'!Z$10/2*COS(RADIANS('Background calcs'!$G195))+Z$65</f>
        <v>-100359.43242745061</v>
      </c>
      <c r="AB195" s="159"/>
      <c r="AC195" s="1"/>
      <c r="AD195" s="1"/>
    </row>
    <row r="196" spans="6:30" x14ac:dyDescent="0.25">
      <c r="F196" t="s">
        <v>223</v>
      </c>
      <c r="G196">
        <v>205</v>
      </c>
      <c r="H196" s="1">
        <f>'Geometry Calculator'!H$10/2*COS(RADIANS('Background calcs'!$G196))+H$65</f>
        <v>-335.33388120356051</v>
      </c>
      <c r="I196" s="1"/>
      <c r="J196" s="1">
        <f>'Geometry Calculator'!J$10/2*COS(RADIANS('Background calcs'!$G196))+J$65</f>
        <v>-335.33388120356051</v>
      </c>
      <c r="K196" s="1"/>
      <c r="L196" s="1">
        <f>'Geometry Calculator'!L$10/2*COS(RADIANS('Background calcs'!$G196))+L$65</f>
        <v>-100341.67803571282</v>
      </c>
      <c r="M196" s="1"/>
      <c r="N196" s="1">
        <f>'Geometry Calculator'!N$10/2*COS(RADIANS('Background calcs'!$G196))+N$65</f>
        <v>-100341.67803571282</v>
      </c>
      <c r="O196" s="1"/>
      <c r="P196" s="1">
        <f>'Geometry Calculator'!P$10/2*COS(RADIANS('Background calcs'!$G196))+P$65</f>
        <v>-100328.9897266943</v>
      </c>
      <c r="Q196" s="1"/>
      <c r="R196" s="1">
        <f>'Geometry Calculator'!R$10/2*COS(RADIANS('Background calcs'!$G196))+R$65</f>
        <v>-100328.9897266943</v>
      </c>
      <c r="S196" s="1"/>
      <c r="T196" s="1">
        <f>'Geometry Calculator'!T$10/2*COS(RADIANS('Background calcs'!$G196))+T$65</f>
        <v>-100337.14649677764</v>
      </c>
      <c r="U196" s="1"/>
      <c r="V196" s="1">
        <f>'Geometry Calculator'!V$10/2*COS(RADIANS('Background calcs'!$G196))+V$65</f>
        <v>-100337.14649677764</v>
      </c>
      <c r="W196" s="1"/>
      <c r="X196" s="1">
        <f>'Geometry Calculator'!X$10/2*COS(RADIANS('Background calcs'!$G196))+X$65</f>
        <v>-100346.66272854152</v>
      </c>
      <c r="Y196" s="1"/>
      <c r="Z196" s="1">
        <f>'Geometry Calculator'!Z$10/2*COS(RADIANS('Background calcs'!$G196))+Z$65</f>
        <v>-100346.66272854152</v>
      </c>
      <c r="AB196" s="159"/>
      <c r="AC196" s="1"/>
      <c r="AD196" s="1"/>
    </row>
    <row r="197" spans="6:30" x14ac:dyDescent="0.25">
      <c r="F197" t="s">
        <v>140</v>
      </c>
      <c r="G197">
        <v>210</v>
      </c>
      <c r="H197" s="1">
        <f>'Geometry Calculator'!H$10/2*COS(RADIANS('Background calcs'!$G197))+H$65</f>
        <v>-320.42939940024229</v>
      </c>
      <c r="I197" s="1"/>
      <c r="J197" s="1">
        <f>'Geometry Calculator'!J$10/2*COS(RADIANS('Background calcs'!$G197))+J$65</f>
        <v>-320.42939940024229</v>
      </c>
      <c r="K197" s="1"/>
      <c r="L197" s="1">
        <f>'Geometry Calculator'!L$10/2*COS(RADIANS('Background calcs'!$G197))+L$65</f>
        <v>-100326.49157722673</v>
      </c>
      <c r="M197" s="1"/>
      <c r="N197" s="1">
        <f>'Geometry Calculator'!N$10/2*COS(RADIANS('Background calcs'!$G197))+N$65</f>
        <v>-100326.49157722673</v>
      </c>
      <c r="O197" s="1"/>
      <c r="P197" s="1">
        <f>'Geometry Calculator'!P$10/2*COS(RADIANS('Background calcs'!$G197))+P$65</f>
        <v>-100314.36722157375</v>
      </c>
      <c r="Q197" s="1"/>
      <c r="R197" s="1">
        <f>'Geometry Calculator'!R$10/2*COS(RADIANS('Background calcs'!$G197))+R$65</f>
        <v>-100314.36722157375</v>
      </c>
      <c r="S197" s="1"/>
      <c r="T197" s="1">
        <f>'Geometry Calculator'!T$10/2*COS(RADIANS('Background calcs'!$G197))+T$65</f>
        <v>-100322.16145020782</v>
      </c>
      <c r="U197" s="1"/>
      <c r="V197" s="1">
        <f>'Geometry Calculator'!V$10/2*COS(RADIANS('Background calcs'!$G197))+V$65</f>
        <v>-100322.16145020782</v>
      </c>
      <c r="W197" s="1"/>
      <c r="X197" s="1">
        <f>'Geometry Calculator'!X$10/2*COS(RADIANS('Background calcs'!$G197))+X$65</f>
        <v>-100331.25471694754</v>
      </c>
      <c r="Y197" s="1"/>
      <c r="Z197" s="1">
        <f>'Geometry Calculator'!Z$10/2*COS(RADIANS('Background calcs'!$G197))+Z$65</f>
        <v>-100331.25471694754</v>
      </c>
      <c r="AB197" s="159"/>
      <c r="AC197" s="1"/>
      <c r="AD197" s="1"/>
    </row>
    <row r="198" spans="6:30" x14ac:dyDescent="0.25">
      <c r="F198" t="s">
        <v>224</v>
      </c>
      <c r="G198">
        <v>215</v>
      </c>
      <c r="H198" s="1">
        <f>'Geometry Calculator'!H$10/2*COS(RADIANS('Background calcs'!$G198))+H$65</f>
        <v>-303.08625638692695</v>
      </c>
      <c r="I198" s="1"/>
      <c r="J198" s="1">
        <f>'Geometry Calculator'!J$10/2*COS(RADIANS('Background calcs'!$G198))+J$65</f>
        <v>-303.08625638692695</v>
      </c>
      <c r="K198" s="1"/>
      <c r="L198" s="1">
        <f>'Geometry Calculator'!L$10/2*COS(RADIANS('Background calcs'!$G198))+L$65</f>
        <v>-100308.82032069695</v>
      </c>
      <c r="M198" s="1"/>
      <c r="N198" s="1">
        <f>'Geometry Calculator'!N$10/2*COS(RADIANS('Background calcs'!$G198))+N$65</f>
        <v>-100308.82032069695</v>
      </c>
      <c r="O198" s="1"/>
      <c r="P198" s="1">
        <f>'Geometry Calculator'!P$10/2*COS(RADIANS('Background calcs'!$G198))+P$65</f>
        <v>-100297.3521920769</v>
      </c>
      <c r="Q198" s="1"/>
      <c r="R198" s="1">
        <f>'Geometry Calculator'!R$10/2*COS(RADIANS('Background calcs'!$G198))+R$65</f>
        <v>-100297.3521920769</v>
      </c>
      <c r="S198" s="1"/>
      <c r="T198" s="1">
        <f>'Geometry Calculator'!T$10/2*COS(RADIANS('Background calcs'!$G198))+T$65</f>
        <v>-100304.7245604755</v>
      </c>
      <c r="U198" s="1"/>
      <c r="V198" s="1">
        <f>'Geometry Calculator'!V$10/2*COS(RADIANS('Background calcs'!$G198))+V$65</f>
        <v>-100304.7245604755</v>
      </c>
      <c r="W198" s="1"/>
      <c r="X198" s="1">
        <f>'Geometry Calculator'!X$10/2*COS(RADIANS('Background calcs'!$G198))+X$65</f>
        <v>-100313.32565694053</v>
      </c>
      <c r="Y198" s="1"/>
      <c r="Z198" s="1">
        <f>'Geometry Calculator'!Z$10/2*COS(RADIANS('Background calcs'!$G198))+Z$65</f>
        <v>-100313.32565694053</v>
      </c>
      <c r="AB198" s="159"/>
      <c r="AC198" s="1"/>
      <c r="AD198" s="1"/>
    </row>
    <row r="199" spans="6:30" x14ac:dyDescent="0.25">
      <c r="F199" t="s">
        <v>225</v>
      </c>
      <c r="G199">
        <v>220</v>
      </c>
      <c r="H199" s="1">
        <f>'Geometry Calculator'!H$10/2*COS(RADIANS('Background calcs'!$G199))+H$65</f>
        <v>-283.43644395402185</v>
      </c>
      <c r="I199" s="1"/>
      <c r="J199" s="1">
        <f>'Geometry Calculator'!J$10/2*COS(RADIANS('Background calcs'!$G199))+J$65</f>
        <v>-283.43644395402185</v>
      </c>
      <c r="K199" s="1"/>
      <c r="L199" s="1">
        <f>'Geometry Calculator'!L$10/2*COS(RADIANS('Background calcs'!$G199))+L$65</f>
        <v>-100288.79875505586</v>
      </c>
      <c r="M199" s="1"/>
      <c r="N199" s="1">
        <f>'Geometry Calculator'!N$10/2*COS(RADIANS('Background calcs'!$G199))+N$65</f>
        <v>-100288.79875505586</v>
      </c>
      <c r="O199" s="1"/>
      <c r="P199" s="1">
        <f>'Geometry Calculator'!P$10/2*COS(RADIANS('Background calcs'!$G199))+P$65</f>
        <v>-100278.07413285218</v>
      </c>
      <c r="Q199" s="1"/>
      <c r="R199" s="1">
        <f>'Geometry Calculator'!R$10/2*COS(RADIANS('Background calcs'!$G199))+R$65</f>
        <v>-100278.07413285218</v>
      </c>
      <c r="S199" s="1"/>
      <c r="T199" s="1">
        <f>'Geometry Calculator'!T$10/2*COS(RADIANS('Background calcs'!$G199))+T$65</f>
        <v>-100284.96853284026</v>
      </c>
      <c r="U199" s="1"/>
      <c r="V199" s="1">
        <f>'Geometry Calculator'!V$10/2*COS(RADIANS('Background calcs'!$G199))+V$65</f>
        <v>-100284.96853284026</v>
      </c>
      <c r="W199" s="1"/>
      <c r="X199" s="1">
        <f>'Geometry Calculator'!X$10/2*COS(RADIANS('Background calcs'!$G199))+X$65</f>
        <v>-100293.01199949301</v>
      </c>
      <c r="Y199" s="1"/>
      <c r="Z199" s="1">
        <f>'Geometry Calculator'!Z$10/2*COS(RADIANS('Background calcs'!$G199))+Z$65</f>
        <v>-100293.01199949301</v>
      </c>
      <c r="AB199" s="159"/>
      <c r="AC199" s="1"/>
      <c r="AD199" s="1"/>
    </row>
    <row r="200" spans="6:30" x14ac:dyDescent="0.25">
      <c r="F200" t="s">
        <v>141</v>
      </c>
      <c r="G200">
        <v>225</v>
      </c>
      <c r="H200" s="1">
        <f>'Geometry Calculator'!H$10/2*COS(RADIANS('Background calcs'!$G200))+H$65</f>
        <v>-261.62950903902265</v>
      </c>
      <c r="I200" s="1"/>
      <c r="J200" s="1">
        <f>'Geometry Calculator'!J$10/2*COS(RADIANS('Background calcs'!$G200))+J$65</f>
        <v>-261.62950903902265</v>
      </c>
      <c r="K200" s="1"/>
      <c r="L200" s="1">
        <f>'Geometry Calculator'!L$10/2*COS(RADIANS('Background calcs'!$G200))+L$65</f>
        <v>-100266.57925650734</v>
      </c>
      <c r="M200" s="1"/>
      <c r="N200" s="1">
        <f>'Geometry Calculator'!N$10/2*COS(RADIANS('Background calcs'!$G200))+N$65</f>
        <v>-100266.57925650734</v>
      </c>
      <c r="O200" s="1"/>
      <c r="P200" s="1">
        <f>'Geometry Calculator'!P$10/2*COS(RADIANS('Background calcs'!$G200))+P$65</f>
        <v>-100256.67976157072</v>
      </c>
      <c r="Q200" s="1"/>
      <c r="R200" s="1">
        <f>'Geometry Calculator'!R$10/2*COS(RADIANS('Background calcs'!$G200))+R$65</f>
        <v>-100256.67976157072</v>
      </c>
      <c r="S200" s="1"/>
      <c r="T200" s="1">
        <f>'Geometry Calculator'!T$10/2*COS(RADIANS('Background calcs'!$G200))+T$65</f>
        <v>-100263.04372260139</v>
      </c>
      <c r="U200" s="1"/>
      <c r="V200" s="1">
        <f>'Geometry Calculator'!V$10/2*COS(RADIANS('Background calcs'!$G200))+V$65</f>
        <v>-100263.04372260139</v>
      </c>
      <c r="W200" s="1"/>
      <c r="X200" s="1">
        <f>'Geometry Calculator'!X$10/2*COS(RADIANS('Background calcs'!$G200))+X$65</f>
        <v>-100270.46834380385</v>
      </c>
      <c r="Y200" s="1"/>
      <c r="Z200" s="1">
        <f>'Geometry Calculator'!Z$10/2*COS(RADIANS('Background calcs'!$G200))+Z$65</f>
        <v>-100270.46834380385</v>
      </c>
      <c r="AB200" s="159"/>
      <c r="AC200" s="1"/>
      <c r="AD200" s="1"/>
    </row>
    <row r="201" spans="6:30" x14ac:dyDescent="0.25">
      <c r="F201" t="s">
        <v>226</v>
      </c>
      <c r="G201">
        <v>230</v>
      </c>
      <c r="H201" s="1">
        <f>'Geometry Calculator'!H$10/2*COS(RADIANS('Background calcs'!$G201))+H$65</f>
        <v>-237.8314155840196</v>
      </c>
      <c r="I201" s="1"/>
      <c r="J201" s="1">
        <f>'Geometry Calculator'!J$10/2*COS(RADIANS('Background calcs'!$G201))+J$65</f>
        <v>-237.8314155840196</v>
      </c>
      <c r="K201" s="1"/>
      <c r="L201" s="1">
        <f>'Geometry Calculator'!L$10/2*COS(RADIANS('Background calcs'!$G201))+L$65</f>
        <v>-100242.33092885182</v>
      </c>
      <c r="M201" s="1"/>
      <c r="N201" s="1">
        <f>'Geometry Calculator'!N$10/2*COS(RADIANS('Background calcs'!$G201))+N$65</f>
        <v>-100242.33092885182</v>
      </c>
      <c r="O201" s="1"/>
      <c r="P201" s="1">
        <f>'Geometry Calculator'!P$10/2*COS(RADIANS('Background calcs'!$G201))+P$65</f>
        <v>-100233.33190231622</v>
      </c>
      <c r="Q201" s="1"/>
      <c r="R201" s="1">
        <f>'Geometry Calculator'!R$10/2*COS(RADIANS('Background calcs'!$G201))+R$65</f>
        <v>-100233.33190231622</v>
      </c>
      <c r="S201" s="1"/>
      <c r="T201" s="1">
        <f>'Geometry Calculator'!T$10/2*COS(RADIANS('Background calcs'!$G201))+T$65</f>
        <v>-100239.11699080339</v>
      </c>
      <c r="U201" s="1"/>
      <c r="V201" s="1">
        <f>'Geometry Calculator'!V$10/2*COS(RADIANS('Background calcs'!$G201))+V$65</f>
        <v>-100239.11699080339</v>
      </c>
      <c r="W201" s="1"/>
      <c r="X201" s="1">
        <f>'Geometry Calculator'!X$10/2*COS(RADIANS('Background calcs'!$G201))+X$65</f>
        <v>-100245.86626070511</v>
      </c>
      <c r="Y201" s="1"/>
      <c r="Z201" s="1">
        <f>'Geometry Calculator'!Z$10/2*COS(RADIANS('Background calcs'!$G201))+Z$65</f>
        <v>-100245.86626070511</v>
      </c>
      <c r="AB201" s="159"/>
      <c r="AC201" s="1"/>
      <c r="AD201" s="1"/>
    </row>
    <row r="202" spans="6:30" x14ac:dyDescent="0.25">
      <c r="F202" t="s">
        <v>227</v>
      </c>
      <c r="G202">
        <v>235</v>
      </c>
      <c r="H202" s="1">
        <f>'Geometry Calculator'!H$10/2*COS(RADIANS('Background calcs'!$G202))+H$65</f>
        <v>-212.22328144988717</v>
      </c>
      <c r="I202" s="1"/>
      <c r="J202" s="1">
        <f>'Geometry Calculator'!J$10/2*COS(RADIANS('Background calcs'!$G202))+J$65</f>
        <v>-212.22328144988717</v>
      </c>
      <c r="K202" s="1"/>
      <c r="L202" s="1">
        <f>'Geometry Calculator'!L$10/2*COS(RADIANS('Background calcs'!$G202))+L$65</f>
        <v>-100216.23831650434</v>
      </c>
      <c r="M202" s="1"/>
      <c r="N202" s="1">
        <f>'Geometry Calculator'!N$10/2*COS(RADIANS('Background calcs'!$G202))+N$65</f>
        <v>-100216.23831650434</v>
      </c>
      <c r="O202" s="1"/>
      <c r="P202" s="1">
        <f>'Geometry Calculator'!P$10/2*COS(RADIANS('Background calcs'!$G202))+P$65</f>
        <v>-100208.20824639543</v>
      </c>
      <c r="Q202" s="1"/>
      <c r="R202" s="1">
        <f>'Geometry Calculator'!R$10/2*COS(RADIANS('Background calcs'!$G202))+R$65</f>
        <v>-100208.20824639543</v>
      </c>
      <c r="S202" s="1"/>
      <c r="T202" s="1">
        <f>'Geometry Calculator'!T$10/2*COS(RADIANS('Background calcs'!$G202))+T$65</f>
        <v>-100213.37043432258</v>
      </c>
      <c r="U202" s="1"/>
      <c r="V202" s="1">
        <f>'Geometry Calculator'!V$10/2*COS(RADIANS('Background calcs'!$G202))+V$65</f>
        <v>-100213.37043432258</v>
      </c>
      <c r="W202" s="1"/>
      <c r="X202" s="1">
        <f>'Geometry Calculator'!X$10/2*COS(RADIANS('Background calcs'!$G202))+X$65</f>
        <v>-100219.39298690428</v>
      </c>
      <c r="Y202" s="1"/>
      <c r="Z202" s="1">
        <f>'Geometry Calculator'!Z$10/2*COS(RADIANS('Background calcs'!$G202))+Z$65</f>
        <v>-100219.39298690428</v>
      </c>
      <c r="AB202" s="159"/>
      <c r="AC202" s="1"/>
      <c r="AD202" s="1"/>
    </row>
    <row r="203" spans="6:30" x14ac:dyDescent="0.25">
      <c r="F203" t="s">
        <v>142</v>
      </c>
      <c r="G203">
        <v>240</v>
      </c>
      <c r="H203" s="1">
        <f>'Geometry Calculator'!H$10/2*COS(RADIANS('Background calcs'!$G203))+H$65</f>
        <v>-185.00000000000017</v>
      </c>
      <c r="I203" s="1"/>
      <c r="J203" s="1">
        <f>'Geometry Calculator'!J$10/2*COS(RADIANS('Background calcs'!$G203))+J$65</f>
        <v>-185.00000000000017</v>
      </c>
      <c r="K203" s="1"/>
      <c r="L203" s="1">
        <f>'Geometry Calculator'!L$10/2*COS(RADIANS('Background calcs'!$G203))+L$65</f>
        <v>-100188.5</v>
      </c>
      <c r="M203" s="1"/>
      <c r="N203" s="1">
        <f>'Geometry Calculator'!N$10/2*COS(RADIANS('Background calcs'!$G203))+N$65</f>
        <v>-100188.5</v>
      </c>
      <c r="O203" s="1"/>
      <c r="P203" s="1">
        <f>'Geometry Calculator'!P$10/2*COS(RADIANS('Background calcs'!$G203))+P$65</f>
        <v>-100181.5</v>
      </c>
      <c r="Q203" s="1"/>
      <c r="R203" s="1">
        <f>'Geometry Calculator'!R$10/2*COS(RADIANS('Background calcs'!$G203))+R$65</f>
        <v>-100181.5</v>
      </c>
      <c r="S203" s="1"/>
      <c r="T203" s="1">
        <f>'Geometry Calculator'!T$10/2*COS(RADIANS('Background calcs'!$G203))+T$65</f>
        <v>-100186</v>
      </c>
      <c r="U203" s="1"/>
      <c r="V203" s="1">
        <f>'Geometry Calculator'!V$10/2*COS(RADIANS('Background calcs'!$G203))+V$65</f>
        <v>-100186</v>
      </c>
      <c r="W203" s="1"/>
      <c r="X203" s="1">
        <f>'Geometry Calculator'!X$10/2*COS(RADIANS('Background calcs'!$G203))+X$65</f>
        <v>-100191.25</v>
      </c>
      <c r="Y203" s="1"/>
      <c r="Z203" s="1">
        <f>'Geometry Calculator'!Z$10/2*COS(RADIANS('Background calcs'!$G203))+Z$65</f>
        <v>-100191.25</v>
      </c>
      <c r="AB203" s="159"/>
      <c r="AC203" s="1"/>
      <c r="AD203" s="1"/>
    </row>
    <row r="204" spans="6:30" x14ac:dyDescent="0.25">
      <c r="F204" t="s">
        <v>228</v>
      </c>
      <c r="G204">
        <v>245</v>
      </c>
      <c r="H204" s="1">
        <f>'Geometry Calculator'!H$10/2*COS(RADIANS('Background calcs'!$G204))+H$65</f>
        <v>-156.36875684405868</v>
      </c>
      <c r="I204" s="1"/>
      <c r="J204" s="1">
        <f>'Geometry Calculator'!J$10/2*COS(RADIANS('Background calcs'!$G204))+J$65</f>
        <v>-156.36875684405868</v>
      </c>
      <c r="K204" s="1"/>
      <c r="L204" s="1">
        <f>'Geometry Calculator'!L$10/2*COS(RADIANS('Background calcs'!$G204))+L$65</f>
        <v>-100159.32708467625</v>
      </c>
      <c r="M204" s="1"/>
      <c r="N204" s="1">
        <f>'Geometry Calculator'!N$10/2*COS(RADIANS('Background calcs'!$G204))+N$65</f>
        <v>-100159.32708467625</v>
      </c>
      <c r="O204" s="1"/>
      <c r="P204" s="1">
        <f>'Geometry Calculator'!P$10/2*COS(RADIANS('Background calcs'!$G204))+P$65</f>
        <v>-100153.41042901187</v>
      </c>
      <c r="Q204" s="1"/>
      <c r="R204" s="1">
        <f>'Geometry Calculator'!R$10/2*COS(RADIANS('Background calcs'!$G204))+R$65</f>
        <v>-100153.41042901187</v>
      </c>
      <c r="S204" s="1"/>
      <c r="T204" s="1">
        <f>'Geometry Calculator'!T$10/2*COS(RADIANS('Background calcs'!$G204))+T$65</f>
        <v>-100157.21399336754</v>
      </c>
      <c r="U204" s="1"/>
      <c r="V204" s="1">
        <f>'Geometry Calculator'!V$10/2*COS(RADIANS('Background calcs'!$G204))+V$65</f>
        <v>-100157.21399336754</v>
      </c>
      <c r="W204" s="1"/>
      <c r="X204" s="1">
        <f>'Geometry Calculator'!X$10/2*COS(RADIANS('Background calcs'!$G204))+X$65</f>
        <v>-100161.65148511581</v>
      </c>
      <c r="Y204" s="1"/>
      <c r="Z204" s="1">
        <f>'Geometry Calculator'!Z$10/2*COS(RADIANS('Background calcs'!$G204))+Z$65</f>
        <v>-100161.65148511581</v>
      </c>
      <c r="AB204" s="159"/>
      <c r="AC204" s="1"/>
      <c r="AD204" s="1"/>
    </row>
    <row r="205" spans="6:30" x14ac:dyDescent="0.25">
      <c r="F205" t="s">
        <v>229</v>
      </c>
      <c r="G205">
        <v>250</v>
      </c>
      <c r="H205" s="1">
        <f>'Geometry Calculator'!H$10/2*COS(RADIANS('Background calcs'!$G205))+H$65</f>
        <v>-126.54745303049737</v>
      </c>
      <c r="I205" s="1"/>
      <c r="J205" s="1">
        <f>'Geometry Calculator'!J$10/2*COS(RADIANS('Background calcs'!$G205))+J$65</f>
        <v>-126.54745303049737</v>
      </c>
      <c r="K205" s="1"/>
      <c r="L205" s="1">
        <f>'Geometry Calculator'!L$10/2*COS(RADIANS('Background calcs'!$G205))+L$65</f>
        <v>-100128.94159403378</v>
      </c>
      <c r="M205" s="1"/>
      <c r="N205" s="1">
        <f>'Geometry Calculator'!N$10/2*COS(RADIANS('Background calcs'!$G205))+N$65</f>
        <v>-100128.94159403378</v>
      </c>
      <c r="O205" s="1"/>
      <c r="P205" s="1">
        <f>'Geometry Calculator'!P$10/2*COS(RADIANS('Background calcs'!$G205))+P$65</f>
        <v>-100124.15331202722</v>
      </c>
      <c r="Q205" s="1"/>
      <c r="R205" s="1">
        <f>'Geometry Calculator'!R$10/2*COS(RADIANS('Background calcs'!$G205))+R$65</f>
        <v>-100124.15331202722</v>
      </c>
      <c r="S205" s="1"/>
      <c r="T205" s="1">
        <f>'Geometry Calculator'!T$10/2*COS(RADIANS('Background calcs'!$G205))+T$65</f>
        <v>-100127.23149331714</v>
      </c>
      <c r="U205" s="1"/>
      <c r="V205" s="1">
        <f>'Geometry Calculator'!V$10/2*COS(RADIANS('Background calcs'!$G205))+V$65</f>
        <v>-100127.23149331714</v>
      </c>
      <c r="W205" s="1"/>
      <c r="X205" s="1">
        <f>'Geometry Calculator'!X$10/2*COS(RADIANS('Background calcs'!$G205))+X$65</f>
        <v>-100130.82270482207</v>
      </c>
      <c r="Y205" s="1"/>
      <c r="Z205" s="1">
        <f>'Geometry Calculator'!Z$10/2*COS(RADIANS('Background calcs'!$G205))+Z$65</f>
        <v>-100130.82270482207</v>
      </c>
      <c r="AB205" s="159"/>
      <c r="AC205" s="1"/>
      <c r="AD205" s="1"/>
    </row>
    <row r="206" spans="6:30" x14ac:dyDescent="0.25">
      <c r="F206" t="s">
        <v>143</v>
      </c>
      <c r="G206">
        <v>255</v>
      </c>
      <c r="H206" s="1">
        <f>'Geometry Calculator'!H$10/2*COS(RADIANS('Background calcs'!$G206))+H$65</f>
        <v>-95.763046687932629</v>
      </c>
      <c r="I206" s="1"/>
      <c r="J206" s="1">
        <f>'Geometry Calculator'!J$10/2*COS(RADIANS('Background calcs'!$G206))+J$65</f>
        <v>-95.763046687932629</v>
      </c>
      <c r="K206" s="1"/>
      <c r="L206" s="1">
        <f>'Geometry Calculator'!L$10/2*COS(RADIANS('Background calcs'!$G206))+L$65</f>
        <v>-100097.57478000365</v>
      </c>
      <c r="M206" s="1"/>
      <c r="N206" s="1">
        <f>'Geometry Calculator'!N$10/2*COS(RADIANS('Background calcs'!$G206))+N$65</f>
        <v>-100097.57478000365</v>
      </c>
      <c r="O206" s="1"/>
      <c r="P206" s="1">
        <f>'Geometry Calculator'!P$10/2*COS(RADIANS('Background calcs'!$G206))+P$65</f>
        <v>-100093.95131337222</v>
      </c>
      <c r="Q206" s="1"/>
      <c r="R206" s="1">
        <f>'Geometry Calculator'!R$10/2*COS(RADIANS('Background calcs'!$G206))+R$65</f>
        <v>-100093.95131337222</v>
      </c>
      <c r="S206" s="1"/>
      <c r="T206" s="1">
        <f>'Geometry Calculator'!T$10/2*COS(RADIANS('Background calcs'!$G206))+T$65</f>
        <v>-100096.28068477813</v>
      </c>
      <c r="U206" s="1"/>
      <c r="V206" s="1">
        <f>'Geometry Calculator'!V$10/2*COS(RADIANS('Background calcs'!$G206))+V$65</f>
        <v>-100096.28068477813</v>
      </c>
      <c r="W206" s="1"/>
      <c r="X206" s="1">
        <f>'Geometry Calculator'!X$10/2*COS(RADIANS('Background calcs'!$G206))+X$65</f>
        <v>-100098.99828475171</v>
      </c>
      <c r="Y206" s="1"/>
      <c r="Z206" s="1">
        <f>'Geometry Calculator'!Z$10/2*COS(RADIANS('Background calcs'!$G206))+Z$65</f>
        <v>-100098.99828475171</v>
      </c>
      <c r="AB206" s="159"/>
      <c r="AC206" s="1"/>
      <c r="AD206" s="1"/>
    </row>
    <row r="207" spans="6:30" x14ac:dyDescent="0.25">
      <c r="F207" t="s">
        <v>230</v>
      </c>
      <c r="G207">
        <v>260</v>
      </c>
      <c r="H207" s="1">
        <f>'Geometry Calculator'!H$10/2*COS(RADIANS('Background calcs'!$G207))+H$65</f>
        <v>-64.249825736764222</v>
      </c>
      <c r="I207" s="1"/>
      <c r="J207" s="1">
        <f>'Geometry Calculator'!J$10/2*COS(RADIANS('Background calcs'!$G207))+J$65</f>
        <v>-64.249825736764222</v>
      </c>
      <c r="K207" s="1"/>
      <c r="L207" s="1">
        <f>'Geometry Calculator'!L$10/2*COS(RADIANS('Background calcs'!$G207))+L$65</f>
        <v>-100065.46536298044</v>
      </c>
      <c r="M207" s="1"/>
      <c r="N207" s="1">
        <f>'Geometry Calculator'!N$10/2*COS(RADIANS('Background calcs'!$G207))+N$65</f>
        <v>-100065.46536298044</v>
      </c>
      <c r="O207" s="1"/>
      <c r="P207" s="1">
        <f>'Geometry Calculator'!P$10/2*COS(RADIANS('Background calcs'!$G207))+P$65</f>
        <v>-100063.0342884931</v>
      </c>
      <c r="Q207" s="1"/>
      <c r="R207" s="1">
        <f>'Geometry Calculator'!R$10/2*COS(RADIANS('Background calcs'!$G207))+R$65</f>
        <v>-100063.0342884931</v>
      </c>
      <c r="S207" s="1"/>
      <c r="T207" s="1">
        <f>'Geometry Calculator'!T$10/2*COS(RADIANS('Background calcs'!$G207))+T$65</f>
        <v>-100064.59712209209</v>
      </c>
      <c r="U207" s="1"/>
      <c r="V207" s="1">
        <f>'Geometry Calculator'!V$10/2*COS(RADIANS('Background calcs'!$G207))+V$65</f>
        <v>-100064.59712209209</v>
      </c>
      <c r="W207" s="1"/>
      <c r="X207" s="1">
        <f>'Geometry Calculator'!X$10/2*COS(RADIANS('Background calcs'!$G207))+X$65</f>
        <v>-100066.42042795761</v>
      </c>
      <c r="Y207" s="1"/>
      <c r="Z207" s="1">
        <f>'Geometry Calculator'!Z$10/2*COS(RADIANS('Background calcs'!$G207))+Z$65</f>
        <v>-100066.42042795761</v>
      </c>
      <c r="AB207" s="159"/>
      <c r="AC207" s="1"/>
      <c r="AD207" s="1"/>
    </row>
    <row r="208" spans="6:30" x14ac:dyDescent="0.25">
      <c r="F208" t="s">
        <v>231</v>
      </c>
      <c r="G208">
        <v>265</v>
      </c>
      <c r="H208" s="1">
        <f>'Geometry Calculator'!H$10/2*COS(RADIANS('Background calcs'!$G208))+H$65</f>
        <v>-32.247624816633554</v>
      </c>
      <c r="I208" s="1"/>
      <c r="J208" s="1">
        <f>'Geometry Calculator'!J$10/2*COS(RADIANS('Background calcs'!$G208))+J$65</f>
        <v>-32.247624816633554</v>
      </c>
      <c r="K208" s="1"/>
      <c r="L208" s="1">
        <f>'Geometry Calculator'!L$10/2*COS(RADIANS('Background calcs'!$G208))+L$65</f>
        <v>-100032.85771501587</v>
      </c>
      <c r="M208" s="1"/>
      <c r="N208" s="1">
        <f>'Geometry Calculator'!N$10/2*COS(RADIANS('Background calcs'!$G208))+N$65</f>
        <v>-100032.85771501587</v>
      </c>
      <c r="O208" s="1"/>
      <c r="P208" s="1">
        <f>'Geometry Calculator'!P$10/2*COS(RADIANS('Background calcs'!$G208))+P$65</f>
        <v>-100031.6375346174</v>
      </c>
      <c r="Q208" s="1"/>
      <c r="R208" s="1">
        <f>'Geometry Calculator'!R$10/2*COS(RADIANS('Background calcs'!$G208))+R$65</f>
        <v>-100031.6375346174</v>
      </c>
      <c r="S208" s="1"/>
      <c r="T208" s="1">
        <f>'Geometry Calculator'!T$10/2*COS(RADIANS('Background calcs'!$G208))+T$65</f>
        <v>-100032.42193630213</v>
      </c>
      <c r="U208" s="1"/>
      <c r="V208" s="1">
        <f>'Geometry Calculator'!V$10/2*COS(RADIANS('Background calcs'!$G208))+V$65</f>
        <v>-100032.42193630213</v>
      </c>
      <c r="W208" s="1"/>
      <c r="X208" s="1">
        <f>'Geometry Calculator'!X$10/2*COS(RADIANS('Background calcs'!$G208))+X$65</f>
        <v>-100033.33707160098</v>
      </c>
      <c r="Y208" s="1"/>
      <c r="Z208" s="1">
        <f>'Geometry Calculator'!Z$10/2*COS(RADIANS('Background calcs'!$G208))+Z$65</f>
        <v>-100033.33707160098</v>
      </c>
      <c r="AB208" s="159"/>
      <c r="AC208" s="1"/>
      <c r="AD208" s="1"/>
    </row>
    <row r="209" spans="6:30" x14ac:dyDescent="0.25">
      <c r="F209" t="s">
        <v>144</v>
      </c>
      <c r="G209">
        <v>270</v>
      </c>
      <c r="H209" s="1">
        <f>'Geometry Calculator'!H$10/2*COS(RADIANS('Background calcs'!$G209))+H$65</f>
        <v>-6.7995739247428411E-14</v>
      </c>
      <c r="I209" s="1"/>
      <c r="J209" s="1">
        <f>'Geometry Calculator'!J$10/2*COS(RADIANS('Background calcs'!$G209))+J$65</f>
        <v>-6.7995739247428411E-14</v>
      </c>
      <c r="K209" s="1"/>
      <c r="L209" s="1">
        <f>'Geometry Calculator'!L$10/2*COS(RADIANS('Background calcs'!$G209))+L$65</f>
        <v>-100000</v>
      </c>
      <c r="M209" s="1"/>
      <c r="N209" s="1">
        <f>'Geometry Calculator'!N$10/2*COS(RADIANS('Background calcs'!$G209))+N$65</f>
        <v>-100000</v>
      </c>
      <c r="O209" s="1"/>
      <c r="P209" s="1">
        <f>'Geometry Calculator'!P$10/2*COS(RADIANS('Background calcs'!$G209))+P$65</f>
        <v>-100000</v>
      </c>
      <c r="Q209" s="1"/>
      <c r="R209" s="1">
        <f>'Geometry Calculator'!R$10/2*COS(RADIANS('Background calcs'!$G209))+R$65</f>
        <v>-100000</v>
      </c>
      <c r="S209" s="1"/>
      <c r="T209" s="1">
        <f>'Geometry Calculator'!T$10/2*COS(RADIANS('Background calcs'!$G209))+T$65</f>
        <v>-100000</v>
      </c>
      <c r="U209" s="1"/>
      <c r="V209" s="1">
        <f>'Geometry Calculator'!V$10/2*COS(RADIANS('Background calcs'!$G209))+V$65</f>
        <v>-100000</v>
      </c>
      <c r="W209" s="1"/>
      <c r="X209" s="1">
        <f>'Geometry Calculator'!X$10/2*COS(RADIANS('Background calcs'!$G209))+X$65</f>
        <v>-100000</v>
      </c>
      <c r="Y209" s="1"/>
      <c r="Z209" s="1">
        <f>'Geometry Calculator'!Z$10/2*COS(RADIANS('Background calcs'!$G209))+Z$65</f>
        <v>-100000</v>
      </c>
      <c r="AB209" s="159"/>
      <c r="AC209" s="1"/>
      <c r="AD209" s="1"/>
    </row>
    <row r="210" spans="6:30" x14ac:dyDescent="0.25">
      <c r="F210" t="s">
        <v>232</v>
      </c>
      <c r="G210">
        <v>275</v>
      </c>
      <c r="H210" s="1">
        <f>'Geometry Calculator'!H$10/2*COS(RADIANS('Background calcs'!$G210))+H$65</f>
        <v>32.247624816633419</v>
      </c>
      <c r="I210" s="1"/>
      <c r="J210" s="1">
        <f>'Geometry Calculator'!J$10/2*COS(RADIANS('Background calcs'!$G210))+J$65</f>
        <v>32.247624816633419</v>
      </c>
      <c r="K210" s="1"/>
      <c r="L210" s="1">
        <f>'Geometry Calculator'!L$10/2*COS(RADIANS('Background calcs'!$G210))+L$65</f>
        <v>-99967.142284984133</v>
      </c>
      <c r="M210" s="1"/>
      <c r="N210" s="1">
        <f>'Geometry Calculator'!N$10/2*COS(RADIANS('Background calcs'!$G210))+N$65</f>
        <v>-99967.142284984133</v>
      </c>
      <c r="O210" s="1"/>
      <c r="P210" s="1">
        <f>'Geometry Calculator'!P$10/2*COS(RADIANS('Background calcs'!$G210))+P$65</f>
        <v>-99968.362465382597</v>
      </c>
      <c r="Q210" s="1"/>
      <c r="R210" s="1">
        <f>'Geometry Calculator'!R$10/2*COS(RADIANS('Background calcs'!$G210))+R$65</f>
        <v>-99968.362465382597</v>
      </c>
      <c r="S210" s="1"/>
      <c r="T210" s="1">
        <f>'Geometry Calculator'!T$10/2*COS(RADIANS('Background calcs'!$G210))+T$65</f>
        <v>-99967.578063697874</v>
      </c>
      <c r="U210" s="1"/>
      <c r="V210" s="1">
        <f>'Geometry Calculator'!V$10/2*COS(RADIANS('Background calcs'!$G210))+V$65</f>
        <v>-99967.578063697874</v>
      </c>
      <c r="W210" s="1"/>
      <c r="X210" s="1">
        <f>'Geometry Calculator'!X$10/2*COS(RADIANS('Background calcs'!$G210))+X$65</f>
        <v>-99966.662928399019</v>
      </c>
      <c r="Y210" s="1"/>
      <c r="Z210" s="1">
        <f>'Geometry Calculator'!Z$10/2*COS(RADIANS('Background calcs'!$G210))+Z$65</f>
        <v>-99966.662928399019</v>
      </c>
      <c r="AB210" s="159"/>
      <c r="AC210" s="1"/>
      <c r="AD210" s="1"/>
    </row>
    <row r="211" spans="6:30" x14ac:dyDescent="0.25">
      <c r="F211" t="s">
        <v>233</v>
      </c>
      <c r="G211">
        <v>280</v>
      </c>
      <c r="H211" s="1">
        <f>'Geometry Calculator'!H$10/2*COS(RADIANS('Background calcs'!$G211))+H$65</f>
        <v>64.249825736764095</v>
      </c>
      <c r="I211" s="1"/>
      <c r="J211" s="1">
        <f>'Geometry Calculator'!J$10/2*COS(RADIANS('Background calcs'!$G211))+J$65</f>
        <v>64.249825736764095</v>
      </c>
      <c r="K211" s="1"/>
      <c r="L211" s="1">
        <f>'Geometry Calculator'!L$10/2*COS(RADIANS('Background calcs'!$G211))+L$65</f>
        <v>-99934.534637019562</v>
      </c>
      <c r="M211" s="1"/>
      <c r="N211" s="1">
        <f>'Geometry Calculator'!N$10/2*COS(RADIANS('Background calcs'!$G211))+N$65</f>
        <v>-99934.534637019562</v>
      </c>
      <c r="O211" s="1"/>
      <c r="P211" s="1">
        <f>'Geometry Calculator'!P$10/2*COS(RADIANS('Background calcs'!$G211))+P$65</f>
        <v>-99936.965711506899</v>
      </c>
      <c r="Q211" s="1"/>
      <c r="R211" s="1">
        <f>'Geometry Calculator'!R$10/2*COS(RADIANS('Background calcs'!$G211))+R$65</f>
        <v>-99936.965711506899</v>
      </c>
      <c r="S211" s="1"/>
      <c r="T211" s="1">
        <f>'Geometry Calculator'!T$10/2*COS(RADIANS('Background calcs'!$G211))+T$65</f>
        <v>-99935.402877907909</v>
      </c>
      <c r="U211" s="1"/>
      <c r="V211" s="1">
        <f>'Geometry Calculator'!V$10/2*COS(RADIANS('Background calcs'!$G211))+V$65</f>
        <v>-99935.402877907909</v>
      </c>
      <c r="W211" s="1"/>
      <c r="X211" s="1">
        <f>'Geometry Calculator'!X$10/2*COS(RADIANS('Background calcs'!$G211))+X$65</f>
        <v>-99933.579572042392</v>
      </c>
      <c r="Y211" s="1"/>
      <c r="Z211" s="1">
        <f>'Geometry Calculator'!Z$10/2*COS(RADIANS('Background calcs'!$G211))+Z$65</f>
        <v>-99933.579572042392</v>
      </c>
      <c r="AB211" s="159"/>
      <c r="AC211" s="1"/>
      <c r="AD211" s="1"/>
    </row>
    <row r="212" spans="6:30" x14ac:dyDescent="0.25">
      <c r="F212" t="s">
        <v>145</v>
      </c>
      <c r="G212">
        <v>285</v>
      </c>
      <c r="H212" s="1">
        <f>'Geometry Calculator'!H$10/2*COS(RADIANS('Background calcs'!$G212))+H$65</f>
        <v>95.763046687932516</v>
      </c>
      <c r="I212" s="1"/>
      <c r="J212" s="1">
        <f>'Geometry Calculator'!J$10/2*COS(RADIANS('Background calcs'!$G212))+J$65</f>
        <v>95.763046687932516</v>
      </c>
      <c r="K212" s="1"/>
      <c r="L212" s="1">
        <f>'Geometry Calculator'!L$10/2*COS(RADIANS('Background calcs'!$G212))+L$65</f>
        <v>-99902.425219996352</v>
      </c>
      <c r="M212" s="1"/>
      <c r="N212" s="1">
        <f>'Geometry Calculator'!N$10/2*COS(RADIANS('Background calcs'!$G212))+N$65</f>
        <v>-99902.425219996352</v>
      </c>
      <c r="O212" s="1"/>
      <c r="P212" s="1">
        <f>'Geometry Calculator'!P$10/2*COS(RADIANS('Background calcs'!$G212))+P$65</f>
        <v>-99906.048686627779</v>
      </c>
      <c r="Q212" s="1"/>
      <c r="R212" s="1">
        <f>'Geometry Calculator'!R$10/2*COS(RADIANS('Background calcs'!$G212))+R$65</f>
        <v>-99906.048686627779</v>
      </c>
      <c r="S212" s="1"/>
      <c r="T212" s="1">
        <f>'Geometry Calculator'!T$10/2*COS(RADIANS('Background calcs'!$G212))+T$65</f>
        <v>-99903.719315221868</v>
      </c>
      <c r="U212" s="1"/>
      <c r="V212" s="1">
        <f>'Geometry Calculator'!V$10/2*COS(RADIANS('Background calcs'!$G212))+V$65</f>
        <v>-99903.719315221868</v>
      </c>
      <c r="W212" s="1"/>
      <c r="X212" s="1">
        <f>'Geometry Calculator'!X$10/2*COS(RADIANS('Background calcs'!$G212))+X$65</f>
        <v>-99901.001715248291</v>
      </c>
      <c r="Y212" s="1"/>
      <c r="Z212" s="1">
        <f>'Geometry Calculator'!Z$10/2*COS(RADIANS('Background calcs'!$G212))+Z$65</f>
        <v>-99901.001715248291</v>
      </c>
      <c r="AB212" s="159"/>
      <c r="AC212" s="1"/>
      <c r="AD212" s="1"/>
    </row>
    <row r="213" spans="6:30" x14ac:dyDescent="0.25">
      <c r="F213" t="s">
        <v>234</v>
      </c>
      <c r="G213">
        <v>290</v>
      </c>
      <c r="H213" s="1">
        <f>'Geometry Calculator'!H$10/2*COS(RADIANS('Background calcs'!$G213))+H$65</f>
        <v>126.54745303049752</v>
      </c>
      <c r="I213" s="1"/>
      <c r="J213" s="1">
        <f>'Geometry Calculator'!J$10/2*COS(RADIANS('Background calcs'!$G213))+J$65</f>
        <v>126.54745303049752</v>
      </c>
      <c r="K213" s="1"/>
      <c r="L213" s="1">
        <f>'Geometry Calculator'!L$10/2*COS(RADIANS('Background calcs'!$G213))+L$65</f>
        <v>-99871.058405966221</v>
      </c>
      <c r="M213" s="1"/>
      <c r="N213" s="1">
        <f>'Geometry Calculator'!N$10/2*COS(RADIANS('Background calcs'!$G213))+N$65</f>
        <v>-99871.058405966221</v>
      </c>
      <c r="O213" s="1"/>
      <c r="P213" s="1">
        <f>'Geometry Calculator'!P$10/2*COS(RADIANS('Background calcs'!$G213))+P$65</f>
        <v>-99875.846687972778</v>
      </c>
      <c r="Q213" s="1"/>
      <c r="R213" s="1">
        <f>'Geometry Calculator'!R$10/2*COS(RADIANS('Background calcs'!$G213))+R$65</f>
        <v>-99875.846687972778</v>
      </c>
      <c r="S213" s="1"/>
      <c r="T213" s="1">
        <f>'Geometry Calculator'!T$10/2*COS(RADIANS('Background calcs'!$G213))+T$65</f>
        <v>-99872.768506682856</v>
      </c>
      <c r="U213" s="1"/>
      <c r="V213" s="1">
        <f>'Geometry Calculator'!V$10/2*COS(RADIANS('Background calcs'!$G213))+V$65</f>
        <v>-99872.768506682856</v>
      </c>
      <c r="W213" s="1"/>
      <c r="X213" s="1">
        <f>'Geometry Calculator'!X$10/2*COS(RADIANS('Background calcs'!$G213))+X$65</f>
        <v>-99869.177295177928</v>
      </c>
      <c r="Y213" s="1"/>
      <c r="Z213" s="1">
        <f>'Geometry Calculator'!Z$10/2*COS(RADIANS('Background calcs'!$G213))+Z$65</f>
        <v>-99869.177295177928</v>
      </c>
      <c r="AB213" s="159"/>
      <c r="AC213" s="1"/>
      <c r="AD213" s="1"/>
    </row>
    <row r="214" spans="6:30" x14ac:dyDescent="0.25">
      <c r="F214" t="s">
        <v>235</v>
      </c>
      <c r="G214">
        <v>295</v>
      </c>
      <c r="H214" s="1">
        <f>'Geometry Calculator'!H$10/2*COS(RADIANS('Background calcs'!$G214))+H$65</f>
        <v>156.36875684405885</v>
      </c>
      <c r="I214" s="1"/>
      <c r="J214" s="1">
        <f>'Geometry Calculator'!J$10/2*COS(RADIANS('Background calcs'!$G214))+J$65</f>
        <v>156.36875684405885</v>
      </c>
      <c r="K214" s="1"/>
      <c r="L214" s="1">
        <f>'Geometry Calculator'!L$10/2*COS(RADIANS('Background calcs'!$G214))+L$65</f>
        <v>-99840.672915323754</v>
      </c>
      <c r="M214" s="1"/>
      <c r="N214" s="1">
        <f>'Geometry Calculator'!N$10/2*COS(RADIANS('Background calcs'!$G214))+N$65</f>
        <v>-99840.672915323754</v>
      </c>
      <c r="O214" s="1"/>
      <c r="P214" s="1">
        <f>'Geometry Calculator'!P$10/2*COS(RADIANS('Background calcs'!$G214))+P$65</f>
        <v>-99846.58957098813</v>
      </c>
      <c r="Q214" s="1"/>
      <c r="R214" s="1">
        <f>'Geometry Calculator'!R$10/2*COS(RADIANS('Background calcs'!$G214))+R$65</f>
        <v>-99846.58957098813</v>
      </c>
      <c r="S214" s="1"/>
      <c r="T214" s="1">
        <f>'Geometry Calculator'!T$10/2*COS(RADIANS('Background calcs'!$G214))+T$65</f>
        <v>-99842.786006632465</v>
      </c>
      <c r="U214" s="1"/>
      <c r="V214" s="1">
        <f>'Geometry Calculator'!V$10/2*COS(RADIANS('Background calcs'!$G214))+V$65</f>
        <v>-99842.786006632465</v>
      </c>
      <c r="W214" s="1"/>
      <c r="X214" s="1">
        <f>'Geometry Calculator'!X$10/2*COS(RADIANS('Background calcs'!$G214))+X$65</f>
        <v>-99838.348514884186</v>
      </c>
      <c r="Y214" s="1"/>
      <c r="Z214" s="1">
        <f>'Geometry Calculator'!Z$10/2*COS(RADIANS('Background calcs'!$G214))+Z$65</f>
        <v>-99838.348514884186</v>
      </c>
      <c r="AB214" s="159"/>
      <c r="AC214" s="1"/>
      <c r="AD214" s="1"/>
    </row>
    <row r="215" spans="6:30" x14ac:dyDescent="0.25">
      <c r="F215" t="s">
        <v>146</v>
      </c>
      <c r="G215">
        <v>300</v>
      </c>
      <c r="H215" s="1">
        <f>'Geometry Calculator'!H$10/2*COS(RADIANS('Background calcs'!$G215))+H$65</f>
        <v>185.00000000000003</v>
      </c>
      <c r="I215" s="1"/>
      <c r="J215" s="1">
        <f>'Geometry Calculator'!J$10/2*COS(RADIANS('Background calcs'!$G215))+J$65</f>
        <v>185.00000000000003</v>
      </c>
      <c r="K215" s="1"/>
      <c r="L215" s="1">
        <f>'Geometry Calculator'!L$10/2*COS(RADIANS('Background calcs'!$G215))+L$65</f>
        <v>-99811.5</v>
      </c>
      <c r="M215" s="1"/>
      <c r="N215" s="1">
        <f>'Geometry Calculator'!N$10/2*COS(RADIANS('Background calcs'!$G215))+N$65</f>
        <v>-99811.5</v>
      </c>
      <c r="O215" s="1"/>
      <c r="P215" s="1">
        <f>'Geometry Calculator'!P$10/2*COS(RADIANS('Background calcs'!$G215))+P$65</f>
        <v>-99818.5</v>
      </c>
      <c r="Q215" s="1"/>
      <c r="R215" s="1">
        <f>'Geometry Calculator'!R$10/2*COS(RADIANS('Background calcs'!$G215))+R$65</f>
        <v>-99818.5</v>
      </c>
      <c r="S215" s="1"/>
      <c r="T215" s="1">
        <f>'Geometry Calculator'!T$10/2*COS(RADIANS('Background calcs'!$G215))+T$65</f>
        <v>-99814</v>
      </c>
      <c r="U215" s="1"/>
      <c r="V215" s="1">
        <f>'Geometry Calculator'!V$10/2*COS(RADIANS('Background calcs'!$G215))+V$65</f>
        <v>-99814</v>
      </c>
      <c r="W215" s="1"/>
      <c r="X215" s="1">
        <f>'Geometry Calculator'!X$10/2*COS(RADIANS('Background calcs'!$G215))+X$65</f>
        <v>-99808.75</v>
      </c>
      <c r="Y215" s="1"/>
      <c r="Z215" s="1">
        <f>'Geometry Calculator'!Z$10/2*COS(RADIANS('Background calcs'!$G215))+Z$65</f>
        <v>-99808.75</v>
      </c>
      <c r="AB215" s="159"/>
      <c r="AC215" s="1"/>
      <c r="AD215" s="1"/>
    </row>
    <row r="216" spans="6:30" x14ac:dyDescent="0.25">
      <c r="F216" t="s">
        <v>236</v>
      </c>
      <c r="G216">
        <v>305</v>
      </c>
      <c r="H216" s="1">
        <f>'Geometry Calculator'!H$10/2*COS(RADIANS('Background calcs'!$G216))+H$65</f>
        <v>212.22328144988703</v>
      </c>
      <c r="I216" s="1"/>
      <c r="J216" s="1">
        <f>'Geometry Calculator'!J$10/2*COS(RADIANS('Background calcs'!$G216))+J$65</f>
        <v>212.22328144988703</v>
      </c>
      <c r="K216" s="1"/>
      <c r="L216" s="1">
        <f>'Geometry Calculator'!L$10/2*COS(RADIANS('Background calcs'!$G216))+L$65</f>
        <v>-99783.761683495657</v>
      </c>
      <c r="M216" s="1"/>
      <c r="N216" s="1">
        <f>'Geometry Calculator'!N$10/2*COS(RADIANS('Background calcs'!$G216))+N$65</f>
        <v>-99783.761683495657</v>
      </c>
      <c r="O216" s="1"/>
      <c r="P216" s="1">
        <f>'Geometry Calculator'!P$10/2*COS(RADIANS('Background calcs'!$G216))+P$65</f>
        <v>-99791.791753604572</v>
      </c>
      <c r="Q216" s="1"/>
      <c r="R216" s="1">
        <f>'Geometry Calculator'!R$10/2*COS(RADIANS('Background calcs'!$G216))+R$65</f>
        <v>-99791.791753604572</v>
      </c>
      <c r="S216" s="1"/>
      <c r="T216" s="1">
        <f>'Geometry Calculator'!T$10/2*COS(RADIANS('Background calcs'!$G216))+T$65</f>
        <v>-99786.629565677416</v>
      </c>
      <c r="U216" s="1"/>
      <c r="V216" s="1">
        <f>'Geometry Calculator'!V$10/2*COS(RADIANS('Background calcs'!$G216))+V$65</f>
        <v>-99786.629565677416</v>
      </c>
      <c r="W216" s="1"/>
      <c r="X216" s="1">
        <f>'Geometry Calculator'!X$10/2*COS(RADIANS('Background calcs'!$G216))+X$65</f>
        <v>-99780.607013095723</v>
      </c>
      <c r="Y216" s="1"/>
      <c r="Z216" s="1">
        <f>'Geometry Calculator'!Z$10/2*COS(RADIANS('Background calcs'!$G216))+Z$65</f>
        <v>-99780.607013095723</v>
      </c>
      <c r="AB216" s="159"/>
      <c r="AC216" s="1"/>
      <c r="AD216" s="1"/>
    </row>
    <row r="217" spans="6:30" x14ac:dyDescent="0.25">
      <c r="F217" t="s">
        <v>237</v>
      </c>
      <c r="G217">
        <v>310</v>
      </c>
      <c r="H217" s="1">
        <f>'Geometry Calculator'!H$10/2*COS(RADIANS('Background calcs'!$G217))+H$65</f>
        <v>237.83141558401951</v>
      </c>
      <c r="I217" s="1"/>
      <c r="J217" s="1">
        <f>'Geometry Calculator'!J$10/2*COS(RADIANS('Background calcs'!$G217))+J$65</f>
        <v>237.83141558401951</v>
      </c>
      <c r="K217" s="1"/>
      <c r="L217" s="1">
        <f>'Geometry Calculator'!L$10/2*COS(RADIANS('Background calcs'!$G217))+L$65</f>
        <v>-99757.669071148179</v>
      </c>
      <c r="M217" s="1"/>
      <c r="N217" s="1">
        <f>'Geometry Calculator'!N$10/2*COS(RADIANS('Background calcs'!$G217))+N$65</f>
        <v>-99757.669071148179</v>
      </c>
      <c r="O217" s="1"/>
      <c r="P217" s="1">
        <f>'Geometry Calculator'!P$10/2*COS(RADIANS('Background calcs'!$G217))+P$65</f>
        <v>-99766.668097683782</v>
      </c>
      <c r="Q217" s="1"/>
      <c r="R217" s="1">
        <f>'Geometry Calculator'!R$10/2*COS(RADIANS('Background calcs'!$G217))+R$65</f>
        <v>-99766.668097683782</v>
      </c>
      <c r="S217" s="1"/>
      <c r="T217" s="1">
        <f>'Geometry Calculator'!T$10/2*COS(RADIANS('Background calcs'!$G217))+T$65</f>
        <v>-99760.883009196608</v>
      </c>
      <c r="U217" s="1"/>
      <c r="V217" s="1">
        <f>'Geometry Calculator'!V$10/2*COS(RADIANS('Background calcs'!$G217))+V$65</f>
        <v>-99760.883009196608</v>
      </c>
      <c r="W217" s="1"/>
      <c r="X217" s="1">
        <f>'Geometry Calculator'!X$10/2*COS(RADIANS('Background calcs'!$G217))+X$65</f>
        <v>-99754.133739294892</v>
      </c>
      <c r="Y217" s="1"/>
      <c r="Z217" s="1">
        <f>'Geometry Calculator'!Z$10/2*COS(RADIANS('Background calcs'!$G217))+Z$65</f>
        <v>-99754.133739294892</v>
      </c>
      <c r="AB217" s="159"/>
      <c r="AC217" s="1"/>
      <c r="AD217" s="1"/>
    </row>
    <row r="218" spans="6:30" x14ac:dyDescent="0.25">
      <c r="F218" t="s">
        <v>147</v>
      </c>
      <c r="G218">
        <v>315</v>
      </c>
      <c r="H218" s="1">
        <f>'Geometry Calculator'!H$10/2*COS(RADIANS('Background calcs'!$G218))+H$65</f>
        <v>261.62950903902254</v>
      </c>
      <c r="I218" s="1"/>
      <c r="J218" s="1">
        <f>'Geometry Calculator'!J$10/2*COS(RADIANS('Background calcs'!$G218))+J$65</f>
        <v>261.62950903902254</v>
      </c>
      <c r="K218" s="1"/>
      <c r="L218" s="1">
        <f>'Geometry Calculator'!L$10/2*COS(RADIANS('Background calcs'!$G218))+L$65</f>
        <v>-99733.420743492665</v>
      </c>
      <c r="M218" s="1"/>
      <c r="N218" s="1">
        <f>'Geometry Calculator'!N$10/2*COS(RADIANS('Background calcs'!$G218))+N$65</f>
        <v>-99733.420743492665</v>
      </c>
      <c r="O218" s="1"/>
      <c r="P218" s="1">
        <f>'Geometry Calculator'!P$10/2*COS(RADIANS('Background calcs'!$G218))+P$65</f>
        <v>-99743.320238429282</v>
      </c>
      <c r="Q218" s="1"/>
      <c r="R218" s="1">
        <f>'Geometry Calculator'!R$10/2*COS(RADIANS('Background calcs'!$G218))+R$65</f>
        <v>-99743.320238429282</v>
      </c>
      <c r="S218" s="1"/>
      <c r="T218" s="1">
        <f>'Geometry Calculator'!T$10/2*COS(RADIANS('Background calcs'!$G218))+T$65</f>
        <v>-99736.956277398611</v>
      </c>
      <c r="U218" s="1"/>
      <c r="V218" s="1">
        <f>'Geometry Calculator'!V$10/2*COS(RADIANS('Background calcs'!$G218))+V$65</f>
        <v>-99736.956277398611</v>
      </c>
      <c r="W218" s="1"/>
      <c r="X218" s="1">
        <f>'Geometry Calculator'!X$10/2*COS(RADIANS('Background calcs'!$G218))+X$65</f>
        <v>-99729.531656196152</v>
      </c>
      <c r="Y218" s="1"/>
      <c r="Z218" s="1">
        <f>'Geometry Calculator'!Z$10/2*COS(RADIANS('Background calcs'!$G218))+Z$65</f>
        <v>-99729.531656196152</v>
      </c>
      <c r="AB218" s="159"/>
      <c r="AC218" s="1"/>
      <c r="AD218" s="1"/>
    </row>
    <row r="219" spans="6:30" x14ac:dyDescent="0.25">
      <c r="F219" t="s">
        <v>238</v>
      </c>
      <c r="G219">
        <v>320</v>
      </c>
      <c r="H219" s="1">
        <f>'Geometry Calculator'!H$10/2*COS(RADIANS('Background calcs'!$G219))+H$65</f>
        <v>283.4364439540218</v>
      </c>
      <c r="I219" s="1"/>
      <c r="J219" s="1">
        <f>'Geometry Calculator'!J$10/2*COS(RADIANS('Background calcs'!$G219))+J$65</f>
        <v>283.4364439540218</v>
      </c>
      <c r="K219" s="1"/>
      <c r="L219" s="1">
        <f>'Geometry Calculator'!L$10/2*COS(RADIANS('Background calcs'!$G219))+L$65</f>
        <v>-99711.201244944139</v>
      </c>
      <c r="M219" s="1"/>
      <c r="N219" s="1">
        <f>'Geometry Calculator'!N$10/2*COS(RADIANS('Background calcs'!$G219))+N$65</f>
        <v>-99711.201244944139</v>
      </c>
      <c r="O219" s="1"/>
      <c r="P219" s="1">
        <f>'Geometry Calculator'!P$10/2*COS(RADIANS('Background calcs'!$G219))+P$65</f>
        <v>-99721.925867147816</v>
      </c>
      <c r="Q219" s="1"/>
      <c r="R219" s="1">
        <f>'Geometry Calculator'!R$10/2*COS(RADIANS('Background calcs'!$G219))+R$65</f>
        <v>-99721.925867147816</v>
      </c>
      <c r="S219" s="1"/>
      <c r="T219" s="1">
        <f>'Geometry Calculator'!T$10/2*COS(RADIANS('Background calcs'!$G219))+T$65</f>
        <v>-99715.031467159744</v>
      </c>
      <c r="U219" s="1"/>
      <c r="V219" s="1">
        <f>'Geometry Calculator'!V$10/2*COS(RADIANS('Background calcs'!$G219))+V$65</f>
        <v>-99715.031467159744</v>
      </c>
      <c r="W219" s="1"/>
      <c r="X219" s="1">
        <f>'Geometry Calculator'!X$10/2*COS(RADIANS('Background calcs'!$G219))+X$65</f>
        <v>-99706.988000506986</v>
      </c>
      <c r="Y219" s="1"/>
      <c r="Z219" s="1">
        <f>'Geometry Calculator'!Z$10/2*COS(RADIANS('Background calcs'!$G219))+Z$65</f>
        <v>-99706.988000506986</v>
      </c>
      <c r="AB219" s="159"/>
      <c r="AC219" s="1"/>
      <c r="AD219" s="1"/>
    </row>
    <row r="220" spans="6:30" x14ac:dyDescent="0.25">
      <c r="F220" t="s">
        <v>239</v>
      </c>
      <c r="G220">
        <v>325</v>
      </c>
      <c r="H220" s="1">
        <f>'Geometry Calculator'!H$10/2*COS(RADIANS('Background calcs'!$G220))+H$65</f>
        <v>303.08625638692689</v>
      </c>
      <c r="I220" s="1"/>
      <c r="J220" s="1">
        <f>'Geometry Calculator'!J$10/2*COS(RADIANS('Background calcs'!$G220))+J$65</f>
        <v>303.08625638692689</v>
      </c>
      <c r="K220" s="1"/>
      <c r="L220" s="1">
        <f>'Geometry Calculator'!L$10/2*COS(RADIANS('Background calcs'!$G220))+L$65</f>
        <v>-99691.179679303052</v>
      </c>
      <c r="M220" s="1"/>
      <c r="N220" s="1">
        <f>'Geometry Calculator'!N$10/2*COS(RADIANS('Background calcs'!$G220))+N$65</f>
        <v>-99691.179679303052</v>
      </c>
      <c r="O220" s="1"/>
      <c r="P220" s="1">
        <f>'Geometry Calculator'!P$10/2*COS(RADIANS('Background calcs'!$G220))+P$65</f>
        <v>-99702.647807923102</v>
      </c>
      <c r="Q220" s="1"/>
      <c r="R220" s="1">
        <f>'Geometry Calculator'!R$10/2*COS(RADIANS('Background calcs'!$G220))+R$65</f>
        <v>-99702.647807923102</v>
      </c>
      <c r="S220" s="1"/>
      <c r="T220" s="1">
        <f>'Geometry Calculator'!T$10/2*COS(RADIANS('Background calcs'!$G220))+T$65</f>
        <v>-99695.275439524499</v>
      </c>
      <c r="U220" s="1"/>
      <c r="V220" s="1">
        <f>'Geometry Calculator'!V$10/2*COS(RADIANS('Background calcs'!$G220))+V$65</f>
        <v>-99695.275439524499</v>
      </c>
      <c r="W220" s="1"/>
      <c r="X220" s="1">
        <f>'Geometry Calculator'!X$10/2*COS(RADIANS('Background calcs'!$G220))+X$65</f>
        <v>-99686.674343059465</v>
      </c>
      <c r="Y220" s="1"/>
      <c r="Z220" s="1">
        <f>'Geometry Calculator'!Z$10/2*COS(RADIANS('Background calcs'!$G220))+Z$65</f>
        <v>-99686.674343059465</v>
      </c>
      <c r="AB220" s="159"/>
      <c r="AC220" s="1"/>
      <c r="AD220" s="1"/>
    </row>
    <row r="221" spans="6:30" x14ac:dyDescent="0.25">
      <c r="F221" t="s">
        <v>148</v>
      </c>
      <c r="G221">
        <v>330</v>
      </c>
      <c r="H221" s="1">
        <f>'Geometry Calculator'!H$10/2*COS(RADIANS('Background calcs'!$G221))+H$65</f>
        <v>320.42939940024218</v>
      </c>
      <c r="I221" s="1"/>
      <c r="J221" s="1">
        <f>'Geometry Calculator'!J$10/2*COS(RADIANS('Background calcs'!$G221))+J$65</f>
        <v>320.42939940024218</v>
      </c>
      <c r="K221" s="1"/>
      <c r="L221" s="1">
        <f>'Geometry Calculator'!L$10/2*COS(RADIANS('Background calcs'!$G221))+L$65</f>
        <v>-99673.508422773273</v>
      </c>
      <c r="M221" s="1"/>
      <c r="N221" s="1">
        <f>'Geometry Calculator'!N$10/2*COS(RADIANS('Background calcs'!$G221))+N$65</f>
        <v>-99673.508422773273</v>
      </c>
      <c r="O221" s="1"/>
      <c r="P221" s="1">
        <f>'Geometry Calculator'!P$10/2*COS(RADIANS('Background calcs'!$G221))+P$65</f>
        <v>-99685.632778426254</v>
      </c>
      <c r="Q221" s="1"/>
      <c r="R221" s="1">
        <f>'Geometry Calculator'!R$10/2*COS(RADIANS('Background calcs'!$G221))+R$65</f>
        <v>-99685.632778426254</v>
      </c>
      <c r="S221" s="1"/>
      <c r="T221" s="1">
        <f>'Geometry Calculator'!T$10/2*COS(RADIANS('Background calcs'!$G221))+T$65</f>
        <v>-99677.838549792184</v>
      </c>
      <c r="U221" s="1"/>
      <c r="V221" s="1">
        <f>'Geometry Calculator'!V$10/2*COS(RADIANS('Background calcs'!$G221))+V$65</f>
        <v>-99677.838549792184</v>
      </c>
      <c r="W221" s="1"/>
      <c r="X221" s="1">
        <f>'Geometry Calculator'!X$10/2*COS(RADIANS('Background calcs'!$G221))+X$65</f>
        <v>-99668.745283052456</v>
      </c>
      <c r="Y221" s="1"/>
      <c r="Z221" s="1">
        <f>'Geometry Calculator'!Z$10/2*COS(RADIANS('Background calcs'!$G221))+Z$65</f>
        <v>-99668.745283052456</v>
      </c>
      <c r="AB221" s="159"/>
      <c r="AC221" s="1"/>
      <c r="AD221" s="1"/>
    </row>
    <row r="222" spans="6:30" x14ac:dyDescent="0.25">
      <c r="F222" t="s">
        <v>240</v>
      </c>
      <c r="G222">
        <v>335</v>
      </c>
      <c r="H222" s="1">
        <f>'Geometry Calculator'!H$10/2*COS(RADIANS('Background calcs'!$G222))+H$65</f>
        <v>335.33388120356051</v>
      </c>
      <c r="I222" s="1"/>
      <c r="J222" s="1">
        <f>'Geometry Calculator'!J$10/2*COS(RADIANS('Background calcs'!$G222))+J$65</f>
        <v>335.33388120356051</v>
      </c>
      <c r="K222" s="1"/>
      <c r="L222" s="1">
        <f>'Geometry Calculator'!L$10/2*COS(RADIANS('Background calcs'!$G222))+L$65</f>
        <v>-99658.321964287185</v>
      </c>
      <c r="M222" s="1"/>
      <c r="N222" s="1">
        <f>'Geometry Calculator'!N$10/2*COS(RADIANS('Background calcs'!$G222))+N$65</f>
        <v>-99658.321964287185</v>
      </c>
      <c r="O222" s="1"/>
      <c r="P222" s="1">
        <f>'Geometry Calculator'!P$10/2*COS(RADIANS('Background calcs'!$G222))+P$65</f>
        <v>-99671.010273305699</v>
      </c>
      <c r="Q222" s="1"/>
      <c r="R222" s="1">
        <f>'Geometry Calculator'!R$10/2*COS(RADIANS('Background calcs'!$G222))+R$65</f>
        <v>-99671.010273305699</v>
      </c>
      <c r="S222" s="1"/>
      <c r="T222" s="1">
        <f>'Geometry Calculator'!T$10/2*COS(RADIANS('Background calcs'!$G222))+T$65</f>
        <v>-99662.853503222359</v>
      </c>
      <c r="U222" s="1"/>
      <c r="V222" s="1">
        <f>'Geometry Calculator'!V$10/2*COS(RADIANS('Background calcs'!$G222))+V$65</f>
        <v>-99662.853503222359</v>
      </c>
      <c r="W222" s="1"/>
      <c r="X222" s="1">
        <f>'Geometry Calculator'!X$10/2*COS(RADIANS('Background calcs'!$G222))+X$65</f>
        <v>-99653.337271458484</v>
      </c>
      <c r="Y222" s="1"/>
      <c r="Z222" s="1">
        <f>'Geometry Calculator'!Z$10/2*COS(RADIANS('Background calcs'!$G222))+Z$65</f>
        <v>-99653.337271458484</v>
      </c>
      <c r="AB222" s="159"/>
      <c r="AC222" s="1"/>
      <c r="AD222" s="1"/>
    </row>
    <row r="223" spans="6:30" x14ac:dyDescent="0.25">
      <c r="F223" t="s">
        <v>241</v>
      </c>
      <c r="G223">
        <v>340</v>
      </c>
      <c r="H223" s="1">
        <f>'Geometry Calculator'!H$10/2*COS(RADIANS('Background calcs'!$G223))+H$65</f>
        <v>347.68626969078611</v>
      </c>
      <c r="I223" s="1"/>
      <c r="J223" s="1">
        <f>'Geometry Calculator'!J$10/2*COS(RADIANS('Background calcs'!$G223))+J$65</f>
        <v>347.68626969078611</v>
      </c>
      <c r="K223" s="1"/>
      <c r="L223" s="1">
        <f>'Geometry Calculator'!L$10/2*COS(RADIANS('Background calcs'!$G223))+L$65</f>
        <v>-99645.735881963716</v>
      </c>
      <c r="M223" s="1"/>
      <c r="N223" s="1">
        <f>'Geometry Calculator'!N$10/2*COS(RADIANS('Background calcs'!$G223))+N$65</f>
        <v>-99645.735881963716</v>
      </c>
      <c r="O223" s="1"/>
      <c r="P223" s="1">
        <f>'Geometry Calculator'!P$10/2*COS(RADIANS('Background calcs'!$G223))+P$65</f>
        <v>-99658.891578654715</v>
      </c>
      <c r="Q223" s="1"/>
      <c r="R223" s="1">
        <f>'Geometry Calculator'!R$10/2*COS(RADIANS('Background calcs'!$G223))+R$65</f>
        <v>-99658.891578654715</v>
      </c>
      <c r="S223" s="1"/>
      <c r="T223" s="1">
        <f>'Geometry Calculator'!T$10/2*COS(RADIANS('Background calcs'!$G223))+T$65</f>
        <v>-99650.434345067639</v>
      </c>
      <c r="U223" s="1"/>
      <c r="V223" s="1">
        <f>'Geometry Calculator'!V$10/2*COS(RADIANS('Background calcs'!$G223))+V$65</f>
        <v>-99650.434345067639</v>
      </c>
      <c r="W223" s="1"/>
      <c r="X223" s="1">
        <f>'Geometry Calculator'!X$10/2*COS(RADIANS('Background calcs'!$G223))+X$65</f>
        <v>-99640.567572549393</v>
      </c>
      <c r="Y223" s="1"/>
      <c r="Z223" s="1">
        <f>'Geometry Calculator'!Z$10/2*COS(RADIANS('Background calcs'!$G223))+Z$65</f>
        <v>-99640.567572549393</v>
      </c>
      <c r="AB223" s="159"/>
      <c r="AC223" s="1"/>
      <c r="AD223" s="1"/>
    </row>
    <row r="224" spans="6:30" x14ac:dyDescent="0.25">
      <c r="F224" t="s">
        <v>149</v>
      </c>
      <c r="G224">
        <v>345</v>
      </c>
      <c r="H224" s="1">
        <f>'Geometry Calculator'!H$10/2*COS(RADIANS('Background calcs'!$G224))+H$65</f>
        <v>357.39255572695527</v>
      </c>
      <c r="I224" s="1"/>
      <c r="J224" s="1">
        <f>'Geometry Calculator'!J$10/2*COS(RADIANS('Background calcs'!$G224))+J$65</f>
        <v>357.39255572695527</v>
      </c>
      <c r="K224" s="1"/>
      <c r="L224" s="1">
        <f>'Geometry Calculator'!L$10/2*COS(RADIANS('Background calcs'!$G224))+L$65</f>
        <v>-99635.845963489017</v>
      </c>
      <c r="M224" s="1"/>
      <c r="N224" s="1">
        <f>'Geometry Calculator'!N$10/2*COS(RADIANS('Background calcs'!$G224))+N$65</f>
        <v>-99635.845963489017</v>
      </c>
      <c r="O224" s="1"/>
      <c r="P224" s="1">
        <f>'Geometry Calculator'!P$10/2*COS(RADIANS('Background calcs'!$G224))+P$65</f>
        <v>-99649.368925057075</v>
      </c>
      <c r="Q224" s="1"/>
      <c r="R224" s="1">
        <f>'Geometry Calculator'!R$10/2*COS(RADIANS('Background calcs'!$G224))+R$65</f>
        <v>-99649.368925057075</v>
      </c>
      <c r="S224" s="1"/>
      <c r="T224" s="1">
        <f>'Geometry Calculator'!T$10/2*COS(RADIANS('Background calcs'!$G224))+T$65</f>
        <v>-99640.675592620464</v>
      </c>
      <c r="U224" s="1"/>
      <c r="V224" s="1">
        <f>'Geometry Calculator'!V$10/2*COS(RADIANS('Background calcs'!$G224))+V$65</f>
        <v>-99640.675592620464</v>
      </c>
      <c r="W224" s="1"/>
      <c r="X224" s="1">
        <f>'Geometry Calculator'!X$10/2*COS(RADIANS('Background calcs'!$G224))+X$65</f>
        <v>-99630.533371444428</v>
      </c>
      <c r="Y224" s="1"/>
      <c r="Z224" s="1">
        <f>'Geometry Calculator'!Z$10/2*COS(RADIANS('Background calcs'!$G224))+Z$65</f>
        <v>-99630.533371444428</v>
      </c>
      <c r="AB224" s="159"/>
      <c r="AC224" s="1"/>
      <c r="AD224" s="1"/>
    </row>
    <row r="225" spans="6:30" x14ac:dyDescent="0.25">
      <c r="F225" t="s">
        <v>242</v>
      </c>
      <c r="G225">
        <v>350</v>
      </c>
      <c r="H225" s="1">
        <f>'Geometry Calculator'!H$10/2*COS(RADIANS('Background calcs'!$G225))+H$65</f>
        <v>364.37886861451699</v>
      </c>
      <c r="I225" s="1"/>
      <c r="J225" s="1">
        <f>'Geometry Calculator'!J$10/2*COS(RADIANS('Background calcs'!$G225))+J$65</f>
        <v>364.37886861451699</v>
      </c>
      <c r="K225" s="1"/>
      <c r="L225" s="1">
        <f>'Geometry Calculator'!L$10/2*COS(RADIANS('Background calcs'!$G225))+L$65</f>
        <v>-99628.7274771144</v>
      </c>
      <c r="M225" s="1"/>
      <c r="N225" s="1">
        <f>'Geometry Calculator'!N$10/2*COS(RADIANS('Background calcs'!$G225))+N$65</f>
        <v>-99628.7274771144</v>
      </c>
      <c r="O225" s="1"/>
      <c r="P225" s="1">
        <f>'Geometry Calculator'!P$10/2*COS(RADIANS('Background calcs'!$G225))+P$65</f>
        <v>-99642.514785656575</v>
      </c>
      <c r="Q225" s="1"/>
      <c r="R225" s="1">
        <f>'Geometry Calculator'!R$10/2*COS(RADIANS('Background calcs'!$G225))+R$65</f>
        <v>-99642.514785656575</v>
      </c>
      <c r="S225" s="1"/>
      <c r="T225" s="1">
        <f>'Geometry Calculator'!T$10/2*COS(RADIANS('Background calcs'!$G225))+T$65</f>
        <v>-99633.651515879465</v>
      </c>
      <c r="U225" s="1"/>
      <c r="V225" s="1">
        <f>'Geometry Calculator'!V$10/2*COS(RADIANS('Background calcs'!$G225))+V$65</f>
        <v>-99633.651515879465</v>
      </c>
      <c r="W225" s="1"/>
      <c r="X225" s="1">
        <f>'Geometry Calculator'!X$10/2*COS(RADIANS('Background calcs'!$G225))+X$65</f>
        <v>-99623.311034472834</v>
      </c>
      <c r="Y225" s="1"/>
      <c r="Z225" s="1">
        <f>'Geometry Calculator'!Z$10/2*COS(RADIANS('Background calcs'!$G225))+Z$65</f>
        <v>-99623.311034472834</v>
      </c>
      <c r="AB225" s="159"/>
      <c r="AC225" s="1"/>
      <c r="AD225" s="1"/>
    </row>
    <row r="226" spans="6:30" x14ac:dyDescent="0.25">
      <c r="F226" t="s">
        <v>243</v>
      </c>
      <c r="G226">
        <v>355</v>
      </c>
      <c r="H226" s="1">
        <f>'Geometry Calculator'!H$10/2*COS(RADIANS('Background calcs'!$G226))+H$65</f>
        <v>368.59203829394585</v>
      </c>
      <c r="I226" s="1"/>
      <c r="J226" s="1">
        <f>'Geometry Calculator'!J$10/2*COS(RADIANS('Background calcs'!$G226))+J$65</f>
        <v>368.59203829394585</v>
      </c>
      <c r="K226" s="1"/>
      <c r="L226" s="1">
        <f>'Geometry Calculator'!L$10/2*COS(RADIANS('Background calcs'!$G226))+L$65</f>
        <v>-99624.434598819411</v>
      </c>
      <c r="M226" s="1"/>
      <c r="N226" s="1">
        <f>'Geometry Calculator'!N$10/2*COS(RADIANS('Background calcs'!$G226))+N$65</f>
        <v>-99624.434598819411</v>
      </c>
      <c r="O226" s="1"/>
      <c r="P226" s="1">
        <f>'Geometry Calculator'!P$10/2*COS(RADIANS('Background calcs'!$G226))+P$65</f>
        <v>-99638.381324592701</v>
      </c>
      <c r="Q226" s="1"/>
      <c r="R226" s="1">
        <f>'Geometry Calculator'!R$10/2*COS(RADIANS('Background calcs'!$G226))+R$65</f>
        <v>-99638.381324592701</v>
      </c>
      <c r="S226" s="1"/>
      <c r="T226" s="1">
        <f>'Geometry Calculator'!T$10/2*COS(RADIANS('Background calcs'!$G226))+T$65</f>
        <v>-99629.415572309867</v>
      </c>
      <c r="U226" s="1"/>
      <c r="V226" s="1">
        <f>'Geometry Calculator'!V$10/2*COS(RADIANS('Background calcs'!$G226))+V$65</f>
        <v>-99629.415572309867</v>
      </c>
      <c r="W226" s="1"/>
      <c r="X226" s="1">
        <f>'Geometry Calculator'!X$10/2*COS(RADIANS('Background calcs'!$G226))+X$65</f>
        <v>-99618.95552797991</v>
      </c>
      <c r="Y226" s="1"/>
      <c r="Z226" s="1">
        <f>'Geometry Calculator'!Z$10/2*COS(RADIANS('Background calcs'!$G226))+Z$65</f>
        <v>-99618.95552797991</v>
      </c>
      <c r="AB226" s="159"/>
      <c r="AC226" s="1"/>
      <c r="AD226" s="1"/>
    </row>
    <row r="227" spans="6:30" x14ac:dyDescent="0.25">
      <c r="F227" t="s">
        <v>150</v>
      </c>
      <c r="G227">
        <v>360</v>
      </c>
      <c r="H227" s="1">
        <f>'Geometry Calculator'!H$10/2*COS(RADIANS('Background calcs'!$G227))+H$65</f>
        <v>370</v>
      </c>
      <c r="I227" s="1"/>
      <c r="J227" s="1">
        <f>'Geometry Calculator'!J$10/2*COS(RADIANS('Background calcs'!$G227))+J$65</f>
        <v>370</v>
      </c>
      <c r="K227" s="1"/>
      <c r="L227" s="1">
        <f>'Geometry Calculator'!L$10/2*COS(RADIANS('Background calcs'!$G227))+L$65</f>
        <v>-99623</v>
      </c>
      <c r="M227" s="1"/>
      <c r="N227" s="1">
        <f>'Geometry Calculator'!N$10/2*COS(RADIANS('Background calcs'!$G227))+N$65</f>
        <v>-99623</v>
      </c>
      <c r="O227" s="1"/>
      <c r="P227" s="1">
        <f>'Geometry Calculator'!P$10/2*COS(RADIANS('Background calcs'!$G227))+P$65</f>
        <v>-99637</v>
      </c>
      <c r="Q227" s="1"/>
      <c r="R227" s="1">
        <f>'Geometry Calculator'!R$10/2*COS(RADIANS('Background calcs'!$G227))+R$65</f>
        <v>-99637</v>
      </c>
      <c r="S227" s="1"/>
      <c r="T227" s="1">
        <f>'Geometry Calculator'!T$10/2*COS(RADIANS('Background calcs'!$G227))+T$65</f>
        <v>-99628</v>
      </c>
      <c r="U227" s="1"/>
      <c r="V227" s="1">
        <f>'Geometry Calculator'!V$10/2*COS(RADIANS('Background calcs'!$G227))+V$65</f>
        <v>-99628</v>
      </c>
      <c r="W227" s="1"/>
      <c r="X227" s="1">
        <f>'Geometry Calculator'!X$10/2*COS(RADIANS('Background calcs'!$G227))+X$65</f>
        <v>-99617.5</v>
      </c>
      <c r="Y227" s="1"/>
      <c r="Z227" s="1">
        <f>'Geometry Calculator'!Z$10/2*COS(RADIANS('Background calcs'!$G227))+Z$65</f>
        <v>-99617.5</v>
      </c>
      <c r="AB227" s="159"/>
      <c r="AC227" s="1"/>
      <c r="AD227" s="1"/>
    </row>
    <row r="229" spans="6:30" x14ac:dyDescent="0.25">
      <c r="F229" t="s">
        <v>151</v>
      </c>
      <c r="G229">
        <v>0</v>
      </c>
      <c r="H229" s="1">
        <f>'Geometry Calculator'!H$10/2*SIN(RADIANS('Background calcs'!$G229))+H$66</f>
        <v>0</v>
      </c>
      <c r="I229" s="1"/>
      <c r="J229" s="1">
        <f>'Geometry Calculator'!J$10/2*SIN(RADIANS('Background calcs'!$G229))+J$66</f>
        <v>0</v>
      </c>
      <c r="K229" s="1"/>
      <c r="L229" s="1">
        <f>'Geometry Calculator'!L$10/2*SIN(RADIANS('Background calcs'!$G229))+L$66</f>
        <v>-100000</v>
      </c>
      <c r="M229" s="1"/>
      <c r="N229" s="1">
        <f>'Geometry Calculator'!N$10/2*SIN(RADIANS('Background calcs'!$G229))+N$66</f>
        <v>-100000</v>
      </c>
      <c r="O229" s="1"/>
      <c r="P229" s="1">
        <f>'Geometry Calculator'!P$10/2*SIN(RADIANS('Background calcs'!$G229))+P$66</f>
        <v>-100000</v>
      </c>
      <c r="Q229" s="1"/>
      <c r="R229" s="1">
        <f>'Geometry Calculator'!R$10/2*SIN(RADIANS('Background calcs'!$G229))+R$66</f>
        <v>-100000</v>
      </c>
      <c r="S229" s="1"/>
      <c r="T229" s="1">
        <f>'Geometry Calculator'!T$10/2*SIN(RADIANS('Background calcs'!$G229))+T$66</f>
        <v>-100000</v>
      </c>
      <c r="U229" s="1"/>
      <c r="V229" s="1">
        <f>'Geometry Calculator'!V$10/2*SIN(RADIANS('Background calcs'!$G229))+V$66</f>
        <v>-100000</v>
      </c>
      <c r="W229" s="1"/>
      <c r="X229" s="1">
        <f>'Geometry Calculator'!X$10/2*SIN(RADIANS('Background calcs'!$G229))+X$66</f>
        <v>-100000</v>
      </c>
      <c r="Y229" s="1"/>
      <c r="Z229" s="1">
        <f>'Geometry Calculator'!Z$10/2*SIN(RADIANS('Background calcs'!$G229))+Z$66</f>
        <v>-100000</v>
      </c>
      <c r="AB229" s="159"/>
      <c r="AC229" s="1"/>
      <c r="AD229" s="1"/>
    </row>
    <row r="230" spans="6:30" x14ac:dyDescent="0.25">
      <c r="F230" t="s">
        <v>244</v>
      </c>
      <c r="G230">
        <v>5</v>
      </c>
      <c r="H230" s="1">
        <f>'Geometry Calculator'!H$10/2*SIN(RADIANS('Background calcs'!$G230))+H$66</f>
        <v>32.247624816633518</v>
      </c>
      <c r="I230" s="1"/>
      <c r="J230" s="1">
        <f>'Geometry Calculator'!J$10/2*SIN(RADIANS('Background calcs'!$G230))+J$66</f>
        <v>32.247624816633518</v>
      </c>
      <c r="K230" s="1"/>
      <c r="L230" s="1">
        <f>'Geometry Calculator'!L$10/2*SIN(RADIANS('Background calcs'!$G230))+L$66</f>
        <v>-99967.142284984133</v>
      </c>
      <c r="M230" s="1"/>
      <c r="N230" s="1">
        <f>'Geometry Calculator'!N$10/2*SIN(RADIANS('Background calcs'!$G230))+N$66</f>
        <v>-99967.142284984133</v>
      </c>
      <c r="O230" s="1"/>
      <c r="P230" s="1">
        <f>'Geometry Calculator'!P$10/2*SIN(RADIANS('Background calcs'!$G230))+P$66</f>
        <v>-99968.362465382597</v>
      </c>
      <c r="Q230" s="1"/>
      <c r="R230" s="1">
        <f>'Geometry Calculator'!R$10/2*SIN(RADIANS('Background calcs'!$G230))+R$66</f>
        <v>-99968.362465382597</v>
      </c>
      <c r="S230" s="1"/>
      <c r="T230" s="1">
        <f>'Geometry Calculator'!T$10/2*SIN(RADIANS('Background calcs'!$G230))+T$66</f>
        <v>-99967.578063697874</v>
      </c>
      <c r="U230" s="1"/>
      <c r="V230" s="1">
        <f>'Geometry Calculator'!V$10/2*SIN(RADIANS('Background calcs'!$G230))+V$66</f>
        <v>-99967.578063697874</v>
      </c>
      <c r="W230" s="1"/>
      <c r="X230" s="1">
        <f>'Geometry Calculator'!X$10/2*SIN(RADIANS('Background calcs'!$G230))+X$66</f>
        <v>-99966.662928399019</v>
      </c>
      <c r="Y230" s="1"/>
      <c r="Z230" s="1">
        <f>'Geometry Calculator'!Z$10/2*SIN(RADIANS('Background calcs'!$G230))+Z$66</f>
        <v>-99966.662928399019</v>
      </c>
      <c r="AB230" s="159"/>
      <c r="AC230" s="1"/>
      <c r="AD230" s="1"/>
    </row>
    <row r="231" spans="6:30" x14ac:dyDescent="0.25">
      <c r="F231" t="s">
        <v>245</v>
      </c>
      <c r="G231">
        <v>10</v>
      </c>
      <c r="H231" s="1">
        <f>'Geometry Calculator'!H$10/2*SIN(RADIANS('Background calcs'!$G231))+H$66</f>
        <v>64.249825736764222</v>
      </c>
      <c r="I231" s="1"/>
      <c r="J231" s="1">
        <f>'Geometry Calculator'!J$10/2*SIN(RADIANS('Background calcs'!$G231))+J$66</f>
        <v>64.249825736764222</v>
      </c>
      <c r="K231" s="1"/>
      <c r="L231" s="1">
        <f>'Geometry Calculator'!L$10/2*SIN(RADIANS('Background calcs'!$G231))+L$66</f>
        <v>-99934.534637019562</v>
      </c>
      <c r="M231" s="1"/>
      <c r="N231" s="1">
        <f>'Geometry Calculator'!N$10/2*SIN(RADIANS('Background calcs'!$G231))+N$66</f>
        <v>-99934.534637019562</v>
      </c>
      <c r="O231" s="1"/>
      <c r="P231" s="1">
        <f>'Geometry Calculator'!P$10/2*SIN(RADIANS('Background calcs'!$G231))+P$66</f>
        <v>-99936.965711506899</v>
      </c>
      <c r="Q231" s="1"/>
      <c r="R231" s="1">
        <f>'Geometry Calculator'!R$10/2*SIN(RADIANS('Background calcs'!$G231))+R$66</f>
        <v>-99936.965711506899</v>
      </c>
      <c r="S231" s="1"/>
      <c r="T231" s="1">
        <f>'Geometry Calculator'!T$10/2*SIN(RADIANS('Background calcs'!$G231))+T$66</f>
        <v>-99935.402877907909</v>
      </c>
      <c r="U231" s="1"/>
      <c r="V231" s="1">
        <f>'Geometry Calculator'!V$10/2*SIN(RADIANS('Background calcs'!$G231))+V$66</f>
        <v>-99935.402877907909</v>
      </c>
      <c r="W231" s="1"/>
      <c r="X231" s="1">
        <f>'Geometry Calculator'!X$10/2*SIN(RADIANS('Background calcs'!$G231))+X$66</f>
        <v>-99933.579572042392</v>
      </c>
      <c r="Y231" s="1"/>
      <c r="Z231" s="1">
        <f>'Geometry Calculator'!Z$10/2*SIN(RADIANS('Background calcs'!$G231))+Z$66</f>
        <v>-99933.579572042392</v>
      </c>
      <c r="AB231" s="159"/>
      <c r="AC231" s="1"/>
      <c r="AD231" s="1"/>
    </row>
    <row r="232" spans="6:30" x14ac:dyDescent="0.25">
      <c r="F232" t="s">
        <v>152</v>
      </c>
      <c r="G232">
        <v>15</v>
      </c>
      <c r="H232" s="1">
        <f>'Geometry Calculator'!H$10/2*SIN(RADIANS('Background calcs'!$G232))+H$66</f>
        <v>95.763046687932672</v>
      </c>
      <c r="I232" s="1"/>
      <c r="J232" s="1">
        <f>'Geometry Calculator'!J$10/2*SIN(RADIANS('Background calcs'!$G232))+J$66</f>
        <v>95.763046687932672</v>
      </c>
      <c r="K232" s="1"/>
      <c r="L232" s="1">
        <f>'Geometry Calculator'!L$10/2*SIN(RADIANS('Background calcs'!$G232))+L$66</f>
        <v>-99902.425219996352</v>
      </c>
      <c r="M232" s="1"/>
      <c r="N232" s="1">
        <f>'Geometry Calculator'!N$10/2*SIN(RADIANS('Background calcs'!$G232))+N$66</f>
        <v>-99902.425219996352</v>
      </c>
      <c r="O232" s="1"/>
      <c r="P232" s="1">
        <f>'Geometry Calculator'!P$10/2*SIN(RADIANS('Background calcs'!$G232))+P$66</f>
        <v>-99906.048686627779</v>
      </c>
      <c r="Q232" s="1"/>
      <c r="R232" s="1">
        <f>'Geometry Calculator'!R$10/2*SIN(RADIANS('Background calcs'!$G232))+R$66</f>
        <v>-99906.048686627779</v>
      </c>
      <c r="S232" s="1"/>
      <c r="T232" s="1">
        <f>'Geometry Calculator'!T$10/2*SIN(RADIANS('Background calcs'!$G232))+T$66</f>
        <v>-99903.719315221868</v>
      </c>
      <c r="U232" s="1"/>
      <c r="V232" s="1">
        <f>'Geometry Calculator'!V$10/2*SIN(RADIANS('Background calcs'!$G232))+V$66</f>
        <v>-99903.719315221868</v>
      </c>
      <c r="W232" s="1"/>
      <c r="X232" s="1">
        <f>'Geometry Calculator'!X$10/2*SIN(RADIANS('Background calcs'!$G232))+X$66</f>
        <v>-99901.001715248291</v>
      </c>
      <c r="Y232" s="1"/>
      <c r="Z232" s="1">
        <f>'Geometry Calculator'!Z$10/2*SIN(RADIANS('Background calcs'!$G232))+Z$66</f>
        <v>-99901.001715248291</v>
      </c>
      <c r="AB232" s="159"/>
      <c r="AC232" s="1"/>
      <c r="AD232" s="1"/>
    </row>
    <row r="233" spans="6:30" x14ac:dyDescent="0.25">
      <c r="F233" t="s">
        <v>246</v>
      </c>
      <c r="G233">
        <v>20</v>
      </c>
      <c r="H233" s="1">
        <f>'Geometry Calculator'!H$10/2*SIN(RADIANS('Background calcs'!$G233))+H$66</f>
        <v>126.54745303049742</v>
      </c>
      <c r="I233" s="1"/>
      <c r="J233" s="1">
        <f>'Geometry Calculator'!J$10/2*SIN(RADIANS('Background calcs'!$G233))+J$66</f>
        <v>126.54745303049742</v>
      </c>
      <c r="K233" s="1"/>
      <c r="L233" s="1">
        <f>'Geometry Calculator'!L$10/2*SIN(RADIANS('Background calcs'!$G233))+L$66</f>
        <v>-99871.058405966221</v>
      </c>
      <c r="M233" s="1"/>
      <c r="N233" s="1">
        <f>'Geometry Calculator'!N$10/2*SIN(RADIANS('Background calcs'!$G233))+N$66</f>
        <v>-99871.058405966221</v>
      </c>
      <c r="O233" s="1"/>
      <c r="P233" s="1">
        <f>'Geometry Calculator'!P$10/2*SIN(RADIANS('Background calcs'!$G233))+P$66</f>
        <v>-99875.846687972778</v>
      </c>
      <c r="Q233" s="1"/>
      <c r="R233" s="1">
        <f>'Geometry Calculator'!R$10/2*SIN(RADIANS('Background calcs'!$G233))+R$66</f>
        <v>-99875.846687972778</v>
      </c>
      <c r="S233" s="1"/>
      <c r="T233" s="1">
        <f>'Geometry Calculator'!T$10/2*SIN(RADIANS('Background calcs'!$G233))+T$66</f>
        <v>-99872.768506682856</v>
      </c>
      <c r="U233" s="1"/>
      <c r="V233" s="1">
        <f>'Geometry Calculator'!V$10/2*SIN(RADIANS('Background calcs'!$G233))+V$66</f>
        <v>-99872.768506682856</v>
      </c>
      <c r="W233" s="1"/>
      <c r="X233" s="1">
        <f>'Geometry Calculator'!X$10/2*SIN(RADIANS('Background calcs'!$G233))+X$66</f>
        <v>-99869.177295177928</v>
      </c>
      <c r="Y233" s="1"/>
      <c r="Z233" s="1">
        <f>'Geometry Calculator'!Z$10/2*SIN(RADIANS('Background calcs'!$G233))+Z$66</f>
        <v>-99869.177295177928</v>
      </c>
      <c r="AB233" s="159"/>
      <c r="AC233" s="1"/>
      <c r="AD233" s="1"/>
    </row>
    <row r="234" spans="6:30" x14ac:dyDescent="0.25">
      <c r="F234" t="s">
        <v>247</v>
      </c>
      <c r="G234">
        <v>25</v>
      </c>
      <c r="H234" s="1">
        <f>'Geometry Calculator'!H$10/2*SIN(RADIANS('Background calcs'!$G234))+H$66</f>
        <v>156.36875684405879</v>
      </c>
      <c r="I234" s="1"/>
      <c r="J234" s="1">
        <f>'Geometry Calculator'!J$10/2*SIN(RADIANS('Background calcs'!$G234))+J$66</f>
        <v>156.36875684405879</v>
      </c>
      <c r="K234" s="1"/>
      <c r="L234" s="1">
        <f>'Geometry Calculator'!L$10/2*SIN(RADIANS('Background calcs'!$G234))+L$66</f>
        <v>-99840.672915323754</v>
      </c>
      <c r="M234" s="1"/>
      <c r="N234" s="1">
        <f>'Geometry Calculator'!N$10/2*SIN(RADIANS('Background calcs'!$G234))+N$66</f>
        <v>-99840.672915323754</v>
      </c>
      <c r="O234" s="1"/>
      <c r="P234" s="1">
        <f>'Geometry Calculator'!P$10/2*SIN(RADIANS('Background calcs'!$G234))+P$66</f>
        <v>-99846.58957098813</v>
      </c>
      <c r="Q234" s="1"/>
      <c r="R234" s="1">
        <f>'Geometry Calculator'!R$10/2*SIN(RADIANS('Background calcs'!$G234))+R$66</f>
        <v>-99846.58957098813</v>
      </c>
      <c r="S234" s="1"/>
      <c r="T234" s="1">
        <f>'Geometry Calculator'!T$10/2*SIN(RADIANS('Background calcs'!$G234))+T$66</f>
        <v>-99842.786006632465</v>
      </c>
      <c r="U234" s="1"/>
      <c r="V234" s="1">
        <f>'Geometry Calculator'!V$10/2*SIN(RADIANS('Background calcs'!$G234))+V$66</f>
        <v>-99842.786006632465</v>
      </c>
      <c r="W234" s="1"/>
      <c r="X234" s="1">
        <f>'Geometry Calculator'!X$10/2*SIN(RADIANS('Background calcs'!$G234))+X$66</f>
        <v>-99838.348514884186</v>
      </c>
      <c r="Y234" s="1"/>
      <c r="Z234" s="1">
        <f>'Geometry Calculator'!Z$10/2*SIN(RADIANS('Background calcs'!$G234))+Z$66</f>
        <v>-99838.348514884186</v>
      </c>
      <c r="AB234" s="159"/>
      <c r="AC234" s="1"/>
      <c r="AD234" s="1"/>
    </row>
    <row r="235" spans="6:30" x14ac:dyDescent="0.25">
      <c r="F235" t="s">
        <v>153</v>
      </c>
      <c r="G235">
        <v>30</v>
      </c>
      <c r="H235" s="1">
        <f>'Geometry Calculator'!H$10/2*SIN(RADIANS('Background calcs'!$G235))+H$66</f>
        <v>184.99999999999997</v>
      </c>
      <c r="I235" s="1"/>
      <c r="J235" s="1">
        <f>'Geometry Calculator'!J$10/2*SIN(RADIANS('Background calcs'!$G235))+J$66</f>
        <v>184.99999999999997</v>
      </c>
      <c r="K235" s="1"/>
      <c r="L235" s="1">
        <f>'Geometry Calculator'!L$10/2*SIN(RADIANS('Background calcs'!$G235))+L$66</f>
        <v>-99811.5</v>
      </c>
      <c r="M235" s="1"/>
      <c r="N235" s="1">
        <f>'Geometry Calculator'!N$10/2*SIN(RADIANS('Background calcs'!$G235))+N$66</f>
        <v>-99811.5</v>
      </c>
      <c r="O235" s="1"/>
      <c r="P235" s="1">
        <f>'Geometry Calculator'!P$10/2*SIN(RADIANS('Background calcs'!$G235))+P$66</f>
        <v>-99818.5</v>
      </c>
      <c r="Q235" s="1"/>
      <c r="R235" s="1">
        <f>'Geometry Calculator'!R$10/2*SIN(RADIANS('Background calcs'!$G235))+R$66</f>
        <v>-99818.5</v>
      </c>
      <c r="S235" s="1"/>
      <c r="T235" s="1">
        <f>'Geometry Calculator'!T$10/2*SIN(RADIANS('Background calcs'!$G235))+T$66</f>
        <v>-99814</v>
      </c>
      <c r="U235" s="1"/>
      <c r="V235" s="1">
        <f>'Geometry Calculator'!V$10/2*SIN(RADIANS('Background calcs'!$G235))+V$66</f>
        <v>-99814</v>
      </c>
      <c r="W235" s="1"/>
      <c r="X235" s="1">
        <f>'Geometry Calculator'!X$10/2*SIN(RADIANS('Background calcs'!$G235))+X$66</f>
        <v>-99808.75</v>
      </c>
      <c r="Y235" s="1"/>
      <c r="Z235" s="1">
        <f>'Geometry Calculator'!Z$10/2*SIN(RADIANS('Background calcs'!$G235))+Z$66</f>
        <v>-99808.75</v>
      </c>
      <c r="AB235" s="159"/>
      <c r="AC235" s="1"/>
      <c r="AD235" s="1"/>
    </row>
    <row r="236" spans="6:30" x14ac:dyDescent="0.25">
      <c r="F236" t="s">
        <v>248</v>
      </c>
      <c r="G236">
        <v>35</v>
      </c>
      <c r="H236" s="1">
        <f>'Geometry Calculator'!H$10/2*SIN(RADIANS('Background calcs'!$G236))+H$66</f>
        <v>212.22328144988703</v>
      </c>
      <c r="I236" s="1"/>
      <c r="J236" s="1">
        <f>'Geometry Calculator'!J$10/2*SIN(RADIANS('Background calcs'!$G236))+J$66</f>
        <v>212.22328144988703</v>
      </c>
      <c r="K236" s="1"/>
      <c r="L236" s="1">
        <f>'Geometry Calculator'!L$10/2*SIN(RADIANS('Background calcs'!$G236))+L$66</f>
        <v>-99783.761683495657</v>
      </c>
      <c r="M236" s="1"/>
      <c r="N236" s="1">
        <f>'Geometry Calculator'!N$10/2*SIN(RADIANS('Background calcs'!$G236))+N$66</f>
        <v>-99783.761683495657</v>
      </c>
      <c r="O236" s="1"/>
      <c r="P236" s="1">
        <f>'Geometry Calculator'!P$10/2*SIN(RADIANS('Background calcs'!$G236))+P$66</f>
        <v>-99791.791753604572</v>
      </c>
      <c r="Q236" s="1"/>
      <c r="R236" s="1">
        <f>'Geometry Calculator'!R$10/2*SIN(RADIANS('Background calcs'!$G236))+R$66</f>
        <v>-99791.791753604572</v>
      </c>
      <c r="S236" s="1"/>
      <c r="T236" s="1">
        <f>'Geometry Calculator'!T$10/2*SIN(RADIANS('Background calcs'!$G236))+T$66</f>
        <v>-99786.629565677416</v>
      </c>
      <c r="U236" s="1"/>
      <c r="V236" s="1">
        <f>'Geometry Calculator'!V$10/2*SIN(RADIANS('Background calcs'!$G236))+V$66</f>
        <v>-99786.629565677416</v>
      </c>
      <c r="W236" s="1"/>
      <c r="X236" s="1">
        <f>'Geometry Calculator'!X$10/2*SIN(RADIANS('Background calcs'!$G236))+X$66</f>
        <v>-99780.607013095723</v>
      </c>
      <c r="Y236" s="1"/>
      <c r="Z236" s="1">
        <f>'Geometry Calculator'!Z$10/2*SIN(RADIANS('Background calcs'!$G236))+Z$66</f>
        <v>-99780.607013095723</v>
      </c>
      <c r="AB236" s="159"/>
      <c r="AC236" s="1"/>
      <c r="AD236" s="1"/>
    </row>
    <row r="237" spans="6:30" x14ac:dyDescent="0.25">
      <c r="F237" t="s">
        <v>249</v>
      </c>
      <c r="G237">
        <v>40</v>
      </c>
      <c r="H237" s="1">
        <f>'Geometry Calculator'!H$10/2*SIN(RADIANS('Background calcs'!$G237))+H$66</f>
        <v>237.83141558401951</v>
      </c>
      <c r="I237" s="1"/>
      <c r="J237" s="1">
        <f>'Geometry Calculator'!J$10/2*SIN(RADIANS('Background calcs'!$G237))+J$66</f>
        <v>237.83141558401951</v>
      </c>
      <c r="K237" s="1"/>
      <c r="L237" s="1">
        <f>'Geometry Calculator'!L$10/2*SIN(RADIANS('Background calcs'!$G237))+L$66</f>
        <v>-99757.669071148179</v>
      </c>
      <c r="M237" s="1"/>
      <c r="N237" s="1">
        <f>'Geometry Calculator'!N$10/2*SIN(RADIANS('Background calcs'!$G237))+N$66</f>
        <v>-99757.669071148179</v>
      </c>
      <c r="O237" s="1"/>
      <c r="P237" s="1">
        <f>'Geometry Calculator'!P$10/2*SIN(RADIANS('Background calcs'!$G237))+P$66</f>
        <v>-99766.668097683782</v>
      </c>
      <c r="Q237" s="1"/>
      <c r="R237" s="1">
        <f>'Geometry Calculator'!R$10/2*SIN(RADIANS('Background calcs'!$G237))+R$66</f>
        <v>-99766.668097683782</v>
      </c>
      <c r="S237" s="1"/>
      <c r="T237" s="1">
        <f>'Geometry Calculator'!T$10/2*SIN(RADIANS('Background calcs'!$G237))+T$66</f>
        <v>-99760.883009196608</v>
      </c>
      <c r="U237" s="1"/>
      <c r="V237" s="1">
        <f>'Geometry Calculator'!V$10/2*SIN(RADIANS('Background calcs'!$G237))+V$66</f>
        <v>-99760.883009196608</v>
      </c>
      <c r="W237" s="1"/>
      <c r="X237" s="1">
        <f>'Geometry Calculator'!X$10/2*SIN(RADIANS('Background calcs'!$G237))+X$66</f>
        <v>-99754.133739294892</v>
      </c>
      <c r="Y237" s="1"/>
      <c r="Z237" s="1">
        <f>'Geometry Calculator'!Z$10/2*SIN(RADIANS('Background calcs'!$G237))+Z$66</f>
        <v>-99754.133739294892</v>
      </c>
      <c r="AB237" s="159"/>
      <c r="AC237" s="1"/>
      <c r="AD237" s="1"/>
    </row>
    <row r="238" spans="6:30" x14ac:dyDescent="0.25">
      <c r="F238" t="s">
        <v>154</v>
      </c>
      <c r="G238">
        <v>45</v>
      </c>
      <c r="H238" s="1">
        <f>'Geometry Calculator'!H$10/2*SIN(RADIANS('Background calcs'!$G238))+H$66</f>
        <v>261.62950903902254</v>
      </c>
      <c r="I238" s="1"/>
      <c r="J238" s="1">
        <f>'Geometry Calculator'!J$10/2*SIN(RADIANS('Background calcs'!$G238))+J$66</f>
        <v>261.62950903902254</v>
      </c>
      <c r="K238" s="1"/>
      <c r="L238" s="1">
        <f>'Geometry Calculator'!L$10/2*SIN(RADIANS('Background calcs'!$G238))+L$66</f>
        <v>-99733.420743492665</v>
      </c>
      <c r="M238" s="1"/>
      <c r="N238" s="1">
        <f>'Geometry Calculator'!N$10/2*SIN(RADIANS('Background calcs'!$G238))+N$66</f>
        <v>-99733.420743492665</v>
      </c>
      <c r="O238" s="1"/>
      <c r="P238" s="1">
        <f>'Geometry Calculator'!P$10/2*SIN(RADIANS('Background calcs'!$G238))+P$66</f>
        <v>-99743.320238429282</v>
      </c>
      <c r="Q238" s="1"/>
      <c r="R238" s="1">
        <f>'Geometry Calculator'!R$10/2*SIN(RADIANS('Background calcs'!$G238))+R$66</f>
        <v>-99743.320238429282</v>
      </c>
      <c r="S238" s="1"/>
      <c r="T238" s="1">
        <f>'Geometry Calculator'!T$10/2*SIN(RADIANS('Background calcs'!$G238))+T$66</f>
        <v>-99736.956277398611</v>
      </c>
      <c r="U238" s="1"/>
      <c r="V238" s="1">
        <f>'Geometry Calculator'!V$10/2*SIN(RADIANS('Background calcs'!$G238))+V$66</f>
        <v>-99736.956277398611</v>
      </c>
      <c r="W238" s="1"/>
      <c r="X238" s="1">
        <f>'Geometry Calculator'!X$10/2*SIN(RADIANS('Background calcs'!$G238))+X$66</f>
        <v>-99729.531656196152</v>
      </c>
      <c r="Y238" s="1"/>
      <c r="Z238" s="1">
        <f>'Geometry Calculator'!Z$10/2*SIN(RADIANS('Background calcs'!$G238))+Z$66</f>
        <v>-99729.531656196152</v>
      </c>
      <c r="AB238" s="159"/>
      <c r="AC238" s="1"/>
      <c r="AD238" s="1"/>
    </row>
    <row r="239" spans="6:30" x14ac:dyDescent="0.25">
      <c r="F239" t="s">
        <v>250</v>
      </c>
      <c r="G239">
        <v>50</v>
      </c>
      <c r="H239" s="1">
        <f>'Geometry Calculator'!H$10/2*SIN(RADIANS('Background calcs'!$G239))+H$66</f>
        <v>283.43644395402185</v>
      </c>
      <c r="I239" s="1"/>
      <c r="J239" s="1">
        <f>'Geometry Calculator'!J$10/2*SIN(RADIANS('Background calcs'!$G239))+J$66</f>
        <v>283.43644395402185</v>
      </c>
      <c r="K239" s="1"/>
      <c r="L239" s="1">
        <f>'Geometry Calculator'!L$10/2*SIN(RADIANS('Background calcs'!$G239))+L$66</f>
        <v>-99711.201244944139</v>
      </c>
      <c r="M239" s="1"/>
      <c r="N239" s="1">
        <f>'Geometry Calculator'!N$10/2*SIN(RADIANS('Background calcs'!$G239))+N$66</f>
        <v>-99711.201244944139</v>
      </c>
      <c r="O239" s="1"/>
      <c r="P239" s="1">
        <f>'Geometry Calculator'!P$10/2*SIN(RADIANS('Background calcs'!$G239))+P$66</f>
        <v>-99721.925867147816</v>
      </c>
      <c r="Q239" s="1"/>
      <c r="R239" s="1">
        <f>'Geometry Calculator'!R$10/2*SIN(RADIANS('Background calcs'!$G239))+R$66</f>
        <v>-99721.925867147816</v>
      </c>
      <c r="S239" s="1"/>
      <c r="T239" s="1">
        <f>'Geometry Calculator'!T$10/2*SIN(RADIANS('Background calcs'!$G239))+T$66</f>
        <v>-99715.031467159744</v>
      </c>
      <c r="U239" s="1"/>
      <c r="V239" s="1">
        <f>'Geometry Calculator'!V$10/2*SIN(RADIANS('Background calcs'!$G239))+V$66</f>
        <v>-99715.031467159744</v>
      </c>
      <c r="W239" s="1"/>
      <c r="X239" s="1">
        <f>'Geometry Calculator'!X$10/2*SIN(RADIANS('Background calcs'!$G239))+X$66</f>
        <v>-99706.988000506986</v>
      </c>
      <c r="Y239" s="1"/>
      <c r="Z239" s="1">
        <f>'Geometry Calculator'!Z$10/2*SIN(RADIANS('Background calcs'!$G239))+Z$66</f>
        <v>-99706.988000506986</v>
      </c>
      <c r="AB239" s="159"/>
      <c r="AC239" s="1"/>
      <c r="AD239" s="1"/>
    </row>
    <row r="240" spans="6:30" x14ac:dyDescent="0.25">
      <c r="F240" t="s">
        <v>251</v>
      </c>
      <c r="G240">
        <v>55</v>
      </c>
      <c r="H240" s="1">
        <f>'Geometry Calculator'!H$10/2*SIN(RADIANS('Background calcs'!$G240))+H$66</f>
        <v>303.08625638692695</v>
      </c>
      <c r="I240" s="1"/>
      <c r="J240" s="1">
        <f>'Geometry Calculator'!J$10/2*SIN(RADIANS('Background calcs'!$G240))+J$66</f>
        <v>303.08625638692695</v>
      </c>
      <c r="K240" s="1"/>
      <c r="L240" s="1">
        <f>'Geometry Calculator'!L$10/2*SIN(RADIANS('Background calcs'!$G240))+L$66</f>
        <v>-99691.179679303052</v>
      </c>
      <c r="M240" s="1"/>
      <c r="N240" s="1">
        <f>'Geometry Calculator'!N$10/2*SIN(RADIANS('Background calcs'!$G240))+N$66</f>
        <v>-99691.179679303052</v>
      </c>
      <c r="O240" s="1"/>
      <c r="P240" s="1">
        <f>'Geometry Calculator'!P$10/2*SIN(RADIANS('Background calcs'!$G240))+P$66</f>
        <v>-99702.647807923102</v>
      </c>
      <c r="Q240" s="1"/>
      <c r="R240" s="1">
        <f>'Geometry Calculator'!R$10/2*SIN(RADIANS('Background calcs'!$G240))+R$66</f>
        <v>-99702.647807923102</v>
      </c>
      <c r="S240" s="1"/>
      <c r="T240" s="1">
        <f>'Geometry Calculator'!T$10/2*SIN(RADIANS('Background calcs'!$G240))+T$66</f>
        <v>-99695.275439524499</v>
      </c>
      <c r="U240" s="1"/>
      <c r="V240" s="1">
        <f>'Geometry Calculator'!V$10/2*SIN(RADIANS('Background calcs'!$G240))+V$66</f>
        <v>-99695.275439524499</v>
      </c>
      <c r="W240" s="1"/>
      <c r="X240" s="1">
        <f>'Geometry Calculator'!X$10/2*SIN(RADIANS('Background calcs'!$G240))+X$66</f>
        <v>-99686.674343059465</v>
      </c>
      <c r="Y240" s="1"/>
      <c r="Z240" s="1">
        <f>'Geometry Calculator'!Z$10/2*SIN(RADIANS('Background calcs'!$G240))+Z$66</f>
        <v>-99686.674343059465</v>
      </c>
      <c r="AB240" s="159"/>
      <c r="AC240" s="1"/>
      <c r="AD240" s="1"/>
    </row>
    <row r="241" spans="6:30" x14ac:dyDescent="0.25">
      <c r="F241" t="s">
        <v>155</v>
      </c>
      <c r="G241">
        <v>60</v>
      </c>
      <c r="H241" s="1">
        <f>'Geometry Calculator'!H$10/2*SIN(RADIANS('Background calcs'!$G241))+H$66</f>
        <v>320.42939940024229</v>
      </c>
      <c r="I241" s="1"/>
      <c r="J241" s="1">
        <f>'Geometry Calculator'!J$10/2*SIN(RADIANS('Background calcs'!$G241))+J$66</f>
        <v>320.42939940024229</v>
      </c>
      <c r="K241" s="1"/>
      <c r="L241" s="1">
        <f>'Geometry Calculator'!L$10/2*SIN(RADIANS('Background calcs'!$G241))+L$66</f>
        <v>-99673.508422773273</v>
      </c>
      <c r="M241" s="1"/>
      <c r="N241" s="1">
        <f>'Geometry Calculator'!N$10/2*SIN(RADIANS('Background calcs'!$G241))+N$66</f>
        <v>-99673.508422773273</v>
      </c>
      <c r="O241" s="1"/>
      <c r="P241" s="1">
        <f>'Geometry Calculator'!P$10/2*SIN(RADIANS('Background calcs'!$G241))+P$66</f>
        <v>-99685.632778426254</v>
      </c>
      <c r="Q241" s="1"/>
      <c r="R241" s="1">
        <f>'Geometry Calculator'!R$10/2*SIN(RADIANS('Background calcs'!$G241))+R$66</f>
        <v>-99685.632778426254</v>
      </c>
      <c r="S241" s="1"/>
      <c r="T241" s="1">
        <f>'Geometry Calculator'!T$10/2*SIN(RADIANS('Background calcs'!$G241))+T$66</f>
        <v>-99677.838549792184</v>
      </c>
      <c r="U241" s="1"/>
      <c r="V241" s="1">
        <f>'Geometry Calculator'!V$10/2*SIN(RADIANS('Background calcs'!$G241))+V$66</f>
        <v>-99677.838549792184</v>
      </c>
      <c r="W241" s="1"/>
      <c r="X241" s="1">
        <f>'Geometry Calculator'!X$10/2*SIN(RADIANS('Background calcs'!$G241))+X$66</f>
        <v>-99668.745283052456</v>
      </c>
      <c r="Y241" s="1"/>
      <c r="Z241" s="1">
        <f>'Geometry Calculator'!Z$10/2*SIN(RADIANS('Background calcs'!$G241))+Z$66</f>
        <v>-99668.745283052456</v>
      </c>
      <c r="AB241" s="159"/>
      <c r="AC241" s="1"/>
      <c r="AD241" s="1"/>
    </row>
    <row r="242" spans="6:30" x14ac:dyDescent="0.25">
      <c r="F242" t="s">
        <v>252</v>
      </c>
      <c r="G242">
        <v>65</v>
      </c>
      <c r="H242" s="1">
        <f>'Geometry Calculator'!H$10/2*SIN(RADIANS('Background calcs'!$G242))+H$66</f>
        <v>335.33388120356045</v>
      </c>
      <c r="I242" s="1"/>
      <c r="J242" s="1">
        <f>'Geometry Calculator'!J$10/2*SIN(RADIANS('Background calcs'!$G242))+J$66</f>
        <v>335.33388120356045</v>
      </c>
      <c r="K242" s="1"/>
      <c r="L242" s="1">
        <f>'Geometry Calculator'!L$10/2*SIN(RADIANS('Background calcs'!$G242))+L$66</f>
        <v>-99658.321964287185</v>
      </c>
      <c r="M242" s="1"/>
      <c r="N242" s="1">
        <f>'Geometry Calculator'!N$10/2*SIN(RADIANS('Background calcs'!$G242))+N$66</f>
        <v>-99658.321964287185</v>
      </c>
      <c r="O242" s="1"/>
      <c r="P242" s="1">
        <f>'Geometry Calculator'!P$10/2*SIN(RADIANS('Background calcs'!$G242))+P$66</f>
        <v>-99671.010273305699</v>
      </c>
      <c r="Q242" s="1"/>
      <c r="R242" s="1">
        <f>'Geometry Calculator'!R$10/2*SIN(RADIANS('Background calcs'!$G242))+R$66</f>
        <v>-99671.010273305699</v>
      </c>
      <c r="S242" s="1"/>
      <c r="T242" s="1">
        <f>'Geometry Calculator'!T$10/2*SIN(RADIANS('Background calcs'!$G242))+T$66</f>
        <v>-99662.853503222359</v>
      </c>
      <c r="U242" s="1"/>
      <c r="V242" s="1">
        <f>'Geometry Calculator'!V$10/2*SIN(RADIANS('Background calcs'!$G242))+V$66</f>
        <v>-99662.853503222359</v>
      </c>
      <c r="W242" s="1"/>
      <c r="X242" s="1">
        <f>'Geometry Calculator'!X$10/2*SIN(RADIANS('Background calcs'!$G242))+X$66</f>
        <v>-99653.337271458484</v>
      </c>
      <c r="Y242" s="1"/>
      <c r="Z242" s="1">
        <f>'Geometry Calculator'!Z$10/2*SIN(RADIANS('Background calcs'!$G242))+Z$66</f>
        <v>-99653.337271458484</v>
      </c>
      <c r="AB242" s="159"/>
      <c r="AC242" s="1"/>
      <c r="AD242" s="1"/>
    </row>
    <row r="243" spans="6:30" x14ac:dyDescent="0.25">
      <c r="F243" t="s">
        <v>253</v>
      </c>
      <c r="G243">
        <v>70</v>
      </c>
      <c r="H243" s="1">
        <f>'Geometry Calculator'!H$10/2*SIN(RADIANS('Background calcs'!$G243))+H$66</f>
        <v>347.68626969078611</v>
      </c>
      <c r="I243" s="1"/>
      <c r="J243" s="1">
        <f>'Geometry Calculator'!J$10/2*SIN(RADIANS('Background calcs'!$G243))+J$66</f>
        <v>347.68626969078611</v>
      </c>
      <c r="K243" s="1"/>
      <c r="L243" s="1">
        <f>'Geometry Calculator'!L$10/2*SIN(RADIANS('Background calcs'!$G243))+L$66</f>
        <v>-99645.735881963716</v>
      </c>
      <c r="M243" s="1"/>
      <c r="N243" s="1">
        <f>'Geometry Calculator'!N$10/2*SIN(RADIANS('Background calcs'!$G243))+N$66</f>
        <v>-99645.735881963716</v>
      </c>
      <c r="O243" s="1"/>
      <c r="P243" s="1">
        <f>'Geometry Calculator'!P$10/2*SIN(RADIANS('Background calcs'!$G243))+P$66</f>
        <v>-99658.891578654715</v>
      </c>
      <c r="Q243" s="1"/>
      <c r="R243" s="1">
        <f>'Geometry Calculator'!R$10/2*SIN(RADIANS('Background calcs'!$G243))+R$66</f>
        <v>-99658.891578654715</v>
      </c>
      <c r="S243" s="1"/>
      <c r="T243" s="1">
        <f>'Geometry Calculator'!T$10/2*SIN(RADIANS('Background calcs'!$G243))+T$66</f>
        <v>-99650.434345067639</v>
      </c>
      <c r="U243" s="1"/>
      <c r="V243" s="1">
        <f>'Geometry Calculator'!V$10/2*SIN(RADIANS('Background calcs'!$G243))+V$66</f>
        <v>-99650.434345067639</v>
      </c>
      <c r="W243" s="1"/>
      <c r="X243" s="1">
        <f>'Geometry Calculator'!X$10/2*SIN(RADIANS('Background calcs'!$G243))+X$66</f>
        <v>-99640.567572549393</v>
      </c>
      <c r="Y243" s="1"/>
      <c r="Z243" s="1">
        <f>'Geometry Calculator'!Z$10/2*SIN(RADIANS('Background calcs'!$G243))+Z$66</f>
        <v>-99640.567572549393</v>
      </c>
      <c r="AB243" s="159"/>
      <c r="AC243" s="1"/>
      <c r="AD243" s="1"/>
    </row>
    <row r="244" spans="6:30" x14ac:dyDescent="0.25">
      <c r="F244" t="s">
        <v>156</v>
      </c>
      <c r="G244">
        <v>75</v>
      </c>
      <c r="H244" s="1">
        <f>'Geometry Calculator'!H$10/2*SIN(RADIANS('Background calcs'!$G244))+H$66</f>
        <v>357.39255572695527</v>
      </c>
      <c r="I244" s="1"/>
      <c r="J244" s="1">
        <f>'Geometry Calculator'!J$10/2*SIN(RADIANS('Background calcs'!$G244))+J$66</f>
        <v>357.39255572695527</v>
      </c>
      <c r="K244" s="1"/>
      <c r="L244" s="1">
        <f>'Geometry Calculator'!L$10/2*SIN(RADIANS('Background calcs'!$G244))+L$66</f>
        <v>-99635.845963489017</v>
      </c>
      <c r="M244" s="1"/>
      <c r="N244" s="1">
        <f>'Geometry Calculator'!N$10/2*SIN(RADIANS('Background calcs'!$G244))+N$66</f>
        <v>-99635.845963489017</v>
      </c>
      <c r="O244" s="1"/>
      <c r="P244" s="1">
        <f>'Geometry Calculator'!P$10/2*SIN(RADIANS('Background calcs'!$G244))+P$66</f>
        <v>-99649.368925057075</v>
      </c>
      <c r="Q244" s="1"/>
      <c r="R244" s="1">
        <f>'Geometry Calculator'!R$10/2*SIN(RADIANS('Background calcs'!$G244))+R$66</f>
        <v>-99649.368925057075</v>
      </c>
      <c r="S244" s="1"/>
      <c r="T244" s="1">
        <f>'Geometry Calculator'!T$10/2*SIN(RADIANS('Background calcs'!$G244))+T$66</f>
        <v>-99640.675592620464</v>
      </c>
      <c r="U244" s="1"/>
      <c r="V244" s="1">
        <f>'Geometry Calculator'!V$10/2*SIN(RADIANS('Background calcs'!$G244))+V$66</f>
        <v>-99640.675592620464</v>
      </c>
      <c r="W244" s="1"/>
      <c r="X244" s="1">
        <f>'Geometry Calculator'!X$10/2*SIN(RADIANS('Background calcs'!$G244))+X$66</f>
        <v>-99630.533371444428</v>
      </c>
      <c r="Y244" s="1"/>
      <c r="Z244" s="1">
        <f>'Geometry Calculator'!Z$10/2*SIN(RADIANS('Background calcs'!$G244))+Z$66</f>
        <v>-99630.533371444428</v>
      </c>
      <c r="AB244" s="159"/>
      <c r="AC244" s="1"/>
      <c r="AD244" s="1"/>
    </row>
    <row r="245" spans="6:30" x14ac:dyDescent="0.25">
      <c r="F245" t="s">
        <v>254</v>
      </c>
      <c r="G245">
        <v>80</v>
      </c>
      <c r="H245" s="1">
        <f>'Geometry Calculator'!H$10/2*SIN(RADIANS('Background calcs'!$G245))+H$66</f>
        <v>364.37886861451699</v>
      </c>
      <c r="I245" s="1"/>
      <c r="J245" s="1">
        <f>'Geometry Calculator'!J$10/2*SIN(RADIANS('Background calcs'!$G245))+J$66</f>
        <v>364.37886861451699</v>
      </c>
      <c r="K245" s="1"/>
      <c r="L245" s="1">
        <f>'Geometry Calculator'!L$10/2*SIN(RADIANS('Background calcs'!$G245))+L$66</f>
        <v>-99628.7274771144</v>
      </c>
      <c r="M245" s="1"/>
      <c r="N245" s="1">
        <f>'Geometry Calculator'!N$10/2*SIN(RADIANS('Background calcs'!$G245))+N$66</f>
        <v>-99628.7274771144</v>
      </c>
      <c r="O245" s="1"/>
      <c r="P245" s="1">
        <f>'Geometry Calculator'!P$10/2*SIN(RADIANS('Background calcs'!$G245))+P$66</f>
        <v>-99642.514785656575</v>
      </c>
      <c r="Q245" s="1"/>
      <c r="R245" s="1">
        <f>'Geometry Calculator'!R$10/2*SIN(RADIANS('Background calcs'!$G245))+R$66</f>
        <v>-99642.514785656575</v>
      </c>
      <c r="S245" s="1"/>
      <c r="T245" s="1">
        <f>'Geometry Calculator'!T$10/2*SIN(RADIANS('Background calcs'!$G245))+T$66</f>
        <v>-99633.651515879465</v>
      </c>
      <c r="U245" s="1"/>
      <c r="V245" s="1">
        <f>'Geometry Calculator'!V$10/2*SIN(RADIANS('Background calcs'!$G245))+V$66</f>
        <v>-99633.651515879465</v>
      </c>
      <c r="W245" s="1"/>
      <c r="X245" s="1">
        <f>'Geometry Calculator'!X$10/2*SIN(RADIANS('Background calcs'!$G245))+X$66</f>
        <v>-99623.311034472834</v>
      </c>
      <c r="Y245" s="1"/>
      <c r="Z245" s="1">
        <f>'Geometry Calculator'!Z$10/2*SIN(RADIANS('Background calcs'!$G245))+Z$66</f>
        <v>-99623.311034472834</v>
      </c>
      <c r="AB245" s="159"/>
      <c r="AC245" s="1"/>
      <c r="AD245" s="1"/>
    </row>
    <row r="246" spans="6:30" x14ac:dyDescent="0.25">
      <c r="F246" t="s">
        <v>255</v>
      </c>
      <c r="G246">
        <v>85</v>
      </c>
      <c r="H246" s="1">
        <f>'Geometry Calculator'!H$10/2*SIN(RADIANS('Background calcs'!$G246))+H$66</f>
        <v>368.59203829394585</v>
      </c>
      <c r="I246" s="1"/>
      <c r="J246" s="1">
        <f>'Geometry Calculator'!J$10/2*SIN(RADIANS('Background calcs'!$G246))+J$66</f>
        <v>368.59203829394585</v>
      </c>
      <c r="K246" s="1"/>
      <c r="L246" s="1">
        <f>'Geometry Calculator'!L$10/2*SIN(RADIANS('Background calcs'!$G246))+L$66</f>
        <v>-99624.434598819411</v>
      </c>
      <c r="M246" s="1"/>
      <c r="N246" s="1">
        <f>'Geometry Calculator'!N$10/2*SIN(RADIANS('Background calcs'!$G246))+N$66</f>
        <v>-99624.434598819411</v>
      </c>
      <c r="O246" s="1"/>
      <c r="P246" s="1">
        <f>'Geometry Calculator'!P$10/2*SIN(RADIANS('Background calcs'!$G246))+P$66</f>
        <v>-99638.381324592701</v>
      </c>
      <c r="Q246" s="1"/>
      <c r="R246" s="1">
        <f>'Geometry Calculator'!R$10/2*SIN(RADIANS('Background calcs'!$G246))+R$66</f>
        <v>-99638.381324592701</v>
      </c>
      <c r="S246" s="1"/>
      <c r="T246" s="1">
        <f>'Geometry Calculator'!T$10/2*SIN(RADIANS('Background calcs'!$G246))+T$66</f>
        <v>-99629.415572309867</v>
      </c>
      <c r="U246" s="1"/>
      <c r="V246" s="1">
        <f>'Geometry Calculator'!V$10/2*SIN(RADIANS('Background calcs'!$G246))+V$66</f>
        <v>-99629.415572309867</v>
      </c>
      <c r="W246" s="1"/>
      <c r="X246" s="1">
        <f>'Geometry Calculator'!X$10/2*SIN(RADIANS('Background calcs'!$G246))+X$66</f>
        <v>-99618.95552797991</v>
      </c>
      <c r="Y246" s="1"/>
      <c r="Z246" s="1">
        <f>'Geometry Calculator'!Z$10/2*SIN(RADIANS('Background calcs'!$G246))+Z$66</f>
        <v>-99618.95552797991</v>
      </c>
      <c r="AB246" s="159"/>
      <c r="AC246" s="1"/>
      <c r="AD246" s="1"/>
    </row>
    <row r="247" spans="6:30" x14ac:dyDescent="0.25">
      <c r="F247" t="s">
        <v>157</v>
      </c>
      <c r="G247">
        <v>90</v>
      </c>
      <c r="H247" s="1">
        <f>'Geometry Calculator'!H$10/2*SIN(RADIANS('Background calcs'!$G247))+H$66</f>
        <v>370</v>
      </c>
      <c r="I247" s="1"/>
      <c r="J247" s="1">
        <f>'Geometry Calculator'!J$10/2*SIN(RADIANS('Background calcs'!$G247))+J$66</f>
        <v>370</v>
      </c>
      <c r="K247" s="1"/>
      <c r="L247" s="1">
        <f>'Geometry Calculator'!L$10/2*SIN(RADIANS('Background calcs'!$G247))+L$66</f>
        <v>-99623</v>
      </c>
      <c r="M247" s="1"/>
      <c r="N247" s="1">
        <f>'Geometry Calculator'!N$10/2*SIN(RADIANS('Background calcs'!$G247))+N$66</f>
        <v>-99623</v>
      </c>
      <c r="O247" s="1"/>
      <c r="P247" s="1">
        <f>'Geometry Calculator'!P$10/2*SIN(RADIANS('Background calcs'!$G247))+P$66</f>
        <v>-99637</v>
      </c>
      <c r="Q247" s="1"/>
      <c r="R247" s="1">
        <f>'Geometry Calculator'!R$10/2*SIN(RADIANS('Background calcs'!$G247))+R$66</f>
        <v>-99637</v>
      </c>
      <c r="S247" s="1"/>
      <c r="T247" s="1">
        <f>'Geometry Calculator'!T$10/2*SIN(RADIANS('Background calcs'!$G247))+T$66</f>
        <v>-99628</v>
      </c>
      <c r="U247" s="1"/>
      <c r="V247" s="1">
        <f>'Geometry Calculator'!V$10/2*SIN(RADIANS('Background calcs'!$G247))+V$66</f>
        <v>-99628</v>
      </c>
      <c r="W247" s="1"/>
      <c r="X247" s="1">
        <f>'Geometry Calculator'!X$10/2*SIN(RADIANS('Background calcs'!$G247))+X$66</f>
        <v>-99617.5</v>
      </c>
      <c r="Y247" s="1"/>
      <c r="Z247" s="1">
        <f>'Geometry Calculator'!Z$10/2*SIN(RADIANS('Background calcs'!$G247))+Z$66</f>
        <v>-99617.5</v>
      </c>
      <c r="AB247" s="159"/>
      <c r="AC247" s="1"/>
      <c r="AD247" s="1"/>
    </row>
    <row r="248" spans="6:30" x14ac:dyDescent="0.25">
      <c r="F248" t="s">
        <v>256</v>
      </c>
      <c r="G248">
        <v>95</v>
      </c>
      <c r="H248" s="1">
        <f>'Geometry Calculator'!H$10/2*SIN(RADIANS('Background calcs'!$G248))+H$66</f>
        <v>368.59203829394585</v>
      </c>
      <c r="I248" s="1"/>
      <c r="J248" s="1">
        <f>'Geometry Calculator'!J$10/2*SIN(RADIANS('Background calcs'!$G248))+J$66</f>
        <v>368.59203829394585</v>
      </c>
      <c r="K248" s="1"/>
      <c r="L248" s="1">
        <f>'Geometry Calculator'!L$10/2*SIN(RADIANS('Background calcs'!$G248))+L$66</f>
        <v>-99624.434598819411</v>
      </c>
      <c r="M248" s="1"/>
      <c r="N248" s="1">
        <f>'Geometry Calculator'!N$10/2*SIN(RADIANS('Background calcs'!$G248))+N$66</f>
        <v>-99624.434598819411</v>
      </c>
      <c r="O248" s="1"/>
      <c r="P248" s="1">
        <f>'Geometry Calculator'!P$10/2*SIN(RADIANS('Background calcs'!$G248))+P$66</f>
        <v>-99638.381324592701</v>
      </c>
      <c r="Q248" s="1"/>
      <c r="R248" s="1">
        <f>'Geometry Calculator'!R$10/2*SIN(RADIANS('Background calcs'!$G248))+R$66</f>
        <v>-99638.381324592701</v>
      </c>
      <c r="S248" s="1"/>
      <c r="T248" s="1">
        <f>'Geometry Calculator'!T$10/2*SIN(RADIANS('Background calcs'!$G248))+T$66</f>
        <v>-99629.415572309867</v>
      </c>
      <c r="U248" s="1"/>
      <c r="V248" s="1">
        <f>'Geometry Calculator'!V$10/2*SIN(RADIANS('Background calcs'!$G248))+V$66</f>
        <v>-99629.415572309867</v>
      </c>
      <c r="W248" s="1"/>
      <c r="X248" s="1">
        <f>'Geometry Calculator'!X$10/2*SIN(RADIANS('Background calcs'!$G248))+X$66</f>
        <v>-99618.95552797991</v>
      </c>
      <c r="Y248" s="1"/>
      <c r="Z248" s="1">
        <f>'Geometry Calculator'!Z$10/2*SIN(RADIANS('Background calcs'!$G248))+Z$66</f>
        <v>-99618.95552797991</v>
      </c>
      <c r="AB248" s="159"/>
      <c r="AC248" s="1"/>
      <c r="AD248" s="1"/>
    </row>
    <row r="249" spans="6:30" x14ac:dyDescent="0.25">
      <c r="F249" t="s">
        <v>257</v>
      </c>
      <c r="G249">
        <v>100</v>
      </c>
      <c r="H249" s="1">
        <f>'Geometry Calculator'!H$10/2*SIN(RADIANS('Background calcs'!$G249))+H$66</f>
        <v>364.37886861451699</v>
      </c>
      <c r="I249" s="1"/>
      <c r="J249" s="1">
        <f>'Geometry Calculator'!J$10/2*SIN(RADIANS('Background calcs'!$G249))+J$66</f>
        <v>364.37886861451699</v>
      </c>
      <c r="K249" s="1"/>
      <c r="L249" s="1">
        <f>'Geometry Calculator'!L$10/2*SIN(RADIANS('Background calcs'!$G249))+L$66</f>
        <v>-99628.7274771144</v>
      </c>
      <c r="M249" s="1"/>
      <c r="N249" s="1">
        <f>'Geometry Calculator'!N$10/2*SIN(RADIANS('Background calcs'!$G249))+N$66</f>
        <v>-99628.7274771144</v>
      </c>
      <c r="O249" s="1"/>
      <c r="P249" s="1">
        <f>'Geometry Calculator'!P$10/2*SIN(RADIANS('Background calcs'!$G249))+P$66</f>
        <v>-99642.514785656575</v>
      </c>
      <c r="Q249" s="1"/>
      <c r="R249" s="1">
        <f>'Geometry Calculator'!R$10/2*SIN(RADIANS('Background calcs'!$G249))+R$66</f>
        <v>-99642.514785656575</v>
      </c>
      <c r="S249" s="1"/>
      <c r="T249" s="1">
        <f>'Geometry Calculator'!T$10/2*SIN(RADIANS('Background calcs'!$G249))+T$66</f>
        <v>-99633.651515879465</v>
      </c>
      <c r="U249" s="1"/>
      <c r="V249" s="1">
        <f>'Geometry Calculator'!V$10/2*SIN(RADIANS('Background calcs'!$G249))+V$66</f>
        <v>-99633.651515879465</v>
      </c>
      <c r="W249" s="1"/>
      <c r="X249" s="1">
        <f>'Geometry Calculator'!X$10/2*SIN(RADIANS('Background calcs'!$G249))+X$66</f>
        <v>-99623.311034472834</v>
      </c>
      <c r="Y249" s="1"/>
      <c r="Z249" s="1">
        <f>'Geometry Calculator'!Z$10/2*SIN(RADIANS('Background calcs'!$G249))+Z$66</f>
        <v>-99623.311034472834</v>
      </c>
      <c r="AB249" s="159"/>
      <c r="AC249" s="1"/>
      <c r="AD249" s="1"/>
    </row>
    <row r="250" spans="6:30" x14ac:dyDescent="0.25">
      <c r="F250" t="s">
        <v>158</v>
      </c>
      <c r="G250">
        <v>105</v>
      </c>
      <c r="H250" s="1">
        <f>'Geometry Calculator'!H$10/2*SIN(RADIANS('Background calcs'!$G250))+H$66</f>
        <v>357.39255572695527</v>
      </c>
      <c r="I250" s="1"/>
      <c r="J250" s="1">
        <f>'Geometry Calculator'!J$10/2*SIN(RADIANS('Background calcs'!$G250))+J$66</f>
        <v>357.39255572695527</v>
      </c>
      <c r="K250" s="1"/>
      <c r="L250" s="1">
        <f>'Geometry Calculator'!L$10/2*SIN(RADIANS('Background calcs'!$G250))+L$66</f>
        <v>-99635.845963489017</v>
      </c>
      <c r="M250" s="1"/>
      <c r="N250" s="1">
        <f>'Geometry Calculator'!N$10/2*SIN(RADIANS('Background calcs'!$G250))+N$66</f>
        <v>-99635.845963489017</v>
      </c>
      <c r="O250" s="1"/>
      <c r="P250" s="1">
        <f>'Geometry Calculator'!P$10/2*SIN(RADIANS('Background calcs'!$G250))+P$66</f>
        <v>-99649.368925057075</v>
      </c>
      <c r="Q250" s="1"/>
      <c r="R250" s="1">
        <f>'Geometry Calculator'!R$10/2*SIN(RADIANS('Background calcs'!$G250))+R$66</f>
        <v>-99649.368925057075</v>
      </c>
      <c r="S250" s="1"/>
      <c r="T250" s="1">
        <f>'Geometry Calculator'!T$10/2*SIN(RADIANS('Background calcs'!$G250))+T$66</f>
        <v>-99640.675592620464</v>
      </c>
      <c r="U250" s="1"/>
      <c r="V250" s="1">
        <f>'Geometry Calculator'!V$10/2*SIN(RADIANS('Background calcs'!$G250))+V$66</f>
        <v>-99640.675592620464</v>
      </c>
      <c r="W250" s="1"/>
      <c r="X250" s="1">
        <f>'Geometry Calculator'!X$10/2*SIN(RADIANS('Background calcs'!$G250))+X$66</f>
        <v>-99630.533371444428</v>
      </c>
      <c r="Y250" s="1"/>
      <c r="Z250" s="1">
        <f>'Geometry Calculator'!Z$10/2*SIN(RADIANS('Background calcs'!$G250))+Z$66</f>
        <v>-99630.533371444428</v>
      </c>
      <c r="AB250" s="159"/>
      <c r="AC250" s="1"/>
      <c r="AD250" s="1"/>
    </row>
    <row r="251" spans="6:30" x14ac:dyDescent="0.25">
      <c r="F251" t="s">
        <v>258</v>
      </c>
      <c r="G251">
        <v>110</v>
      </c>
      <c r="H251" s="1">
        <f>'Geometry Calculator'!H$10/2*SIN(RADIANS('Background calcs'!$G251))+H$66</f>
        <v>347.68626969078611</v>
      </c>
      <c r="I251" s="1"/>
      <c r="J251" s="1">
        <f>'Geometry Calculator'!J$10/2*SIN(RADIANS('Background calcs'!$G251))+J$66</f>
        <v>347.68626969078611</v>
      </c>
      <c r="K251" s="1"/>
      <c r="L251" s="1">
        <f>'Geometry Calculator'!L$10/2*SIN(RADIANS('Background calcs'!$G251))+L$66</f>
        <v>-99645.735881963716</v>
      </c>
      <c r="M251" s="1"/>
      <c r="N251" s="1">
        <f>'Geometry Calculator'!N$10/2*SIN(RADIANS('Background calcs'!$G251))+N$66</f>
        <v>-99645.735881963716</v>
      </c>
      <c r="O251" s="1"/>
      <c r="P251" s="1">
        <f>'Geometry Calculator'!P$10/2*SIN(RADIANS('Background calcs'!$G251))+P$66</f>
        <v>-99658.891578654715</v>
      </c>
      <c r="Q251" s="1"/>
      <c r="R251" s="1">
        <f>'Geometry Calculator'!R$10/2*SIN(RADIANS('Background calcs'!$G251))+R$66</f>
        <v>-99658.891578654715</v>
      </c>
      <c r="S251" s="1"/>
      <c r="T251" s="1">
        <f>'Geometry Calculator'!T$10/2*SIN(RADIANS('Background calcs'!$G251))+T$66</f>
        <v>-99650.434345067639</v>
      </c>
      <c r="U251" s="1"/>
      <c r="V251" s="1">
        <f>'Geometry Calculator'!V$10/2*SIN(RADIANS('Background calcs'!$G251))+V$66</f>
        <v>-99650.434345067639</v>
      </c>
      <c r="W251" s="1"/>
      <c r="X251" s="1">
        <f>'Geometry Calculator'!X$10/2*SIN(RADIANS('Background calcs'!$G251))+X$66</f>
        <v>-99640.567572549393</v>
      </c>
      <c r="Y251" s="1"/>
      <c r="Z251" s="1">
        <f>'Geometry Calculator'!Z$10/2*SIN(RADIANS('Background calcs'!$G251))+Z$66</f>
        <v>-99640.567572549393</v>
      </c>
      <c r="AB251" s="159"/>
      <c r="AC251" s="1"/>
      <c r="AD251" s="1"/>
    </row>
    <row r="252" spans="6:30" x14ac:dyDescent="0.25">
      <c r="F252" t="s">
        <v>259</v>
      </c>
      <c r="G252">
        <v>115</v>
      </c>
      <c r="H252" s="1">
        <f>'Geometry Calculator'!H$10/2*SIN(RADIANS('Background calcs'!$G252))+H$66</f>
        <v>335.33388120356051</v>
      </c>
      <c r="I252" s="1"/>
      <c r="J252" s="1">
        <f>'Geometry Calculator'!J$10/2*SIN(RADIANS('Background calcs'!$G252))+J$66</f>
        <v>335.33388120356051</v>
      </c>
      <c r="K252" s="1"/>
      <c r="L252" s="1">
        <f>'Geometry Calculator'!L$10/2*SIN(RADIANS('Background calcs'!$G252))+L$66</f>
        <v>-99658.321964287185</v>
      </c>
      <c r="M252" s="1"/>
      <c r="N252" s="1">
        <f>'Geometry Calculator'!N$10/2*SIN(RADIANS('Background calcs'!$G252))+N$66</f>
        <v>-99658.321964287185</v>
      </c>
      <c r="O252" s="1"/>
      <c r="P252" s="1">
        <f>'Geometry Calculator'!P$10/2*SIN(RADIANS('Background calcs'!$G252))+P$66</f>
        <v>-99671.010273305699</v>
      </c>
      <c r="Q252" s="1"/>
      <c r="R252" s="1">
        <f>'Geometry Calculator'!R$10/2*SIN(RADIANS('Background calcs'!$G252))+R$66</f>
        <v>-99671.010273305699</v>
      </c>
      <c r="S252" s="1"/>
      <c r="T252" s="1">
        <f>'Geometry Calculator'!T$10/2*SIN(RADIANS('Background calcs'!$G252))+T$66</f>
        <v>-99662.853503222359</v>
      </c>
      <c r="U252" s="1"/>
      <c r="V252" s="1">
        <f>'Geometry Calculator'!V$10/2*SIN(RADIANS('Background calcs'!$G252))+V$66</f>
        <v>-99662.853503222359</v>
      </c>
      <c r="W252" s="1"/>
      <c r="X252" s="1">
        <f>'Geometry Calculator'!X$10/2*SIN(RADIANS('Background calcs'!$G252))+X$66</f>
        <v>-99653.337271458484</v>
      </c>
      <c r="Y252" s="1"/>
      <c r="Z252" s="1">
        <f>'Geometry Calculator'!Z$10/2*SIN(RADIANS('Background calcs'!$G252))+Z$66</f>
        <v>-99653.337271458484</v>
      </c>
      <c r="AB252" s="159"/>
      <c r="AC252" s="1"/>
      <c r="AD252" s="1"/>
    </row>
    <row r="253" spans="6:30" x14ac:dyDescent="0.25">
      <c r="F253" t="s">
        <v>159</v>
      </c>
      <c r="G253">
        <v>120</v>
      </c>
      <c r="H253" s="1">
        <f>'Geometry Calculator'!H$10/2*SIN(RADIANS('Background calcs'!$G253))+H$66</f>
        <v>320.42939940024235</v>
      </c>
      <c r="I253" s="1"/>
      <c r="J253" s="1">
        <f>'Geometry Calculator'!J$10/2*SIN(RADIANS('Background calcs'!$G253))+J$66</f>
        <v>320.42939940024235</v>
      </c>
      <c r="K253" s="1"/>
      <c r="L253" s="1">
        <f>'Geometry Calculator'!L$10/2*SIN(RADIANS('Background calcs'!$G253))+L$66</f>
        <v>-99673.508422773273</v>
      </c>
      <c r="M253" s="1"/>
      <c r="N253" s="1">
        <f>'Geometry Calculator'!N$10/2*SIN(RADIANS('Background calcs'!$G253))+N$66</f>
        <v>-99673.508422773273</v>
      </c>
      <c r="O253" s="1"/>
      <c r="P253" s="1">
        <f>'Geometry Calculator'!P$10/2*SIN(RADIANS('Background calcs'!$G253))+P$66</f>
        <v>-99685.632778426254</v>
      </c>
      <c r="Q253" s="1"/>
      <c r="R253" s="1">
        <f>'Geometry Calculator'!R$10/2*SIN(RADIANS('Background calcs'!$G253))+R$66</f>
        <v>-99685.632778426254</v>
      </c>
      <c r="S253" s="1"/>
      <c r="T253" s="1">
        <f>'Geometry Calculator'!T$10/2*SIN(RADIANS('Background calcs'!$G253))+T$66</f>
        <v>-99677.838549792184</v>
      </c>
      <c r="U253" s="1"/>
      <c r="V253" s="1">
        <f>'Geometry Calculator'!V$10/2*SIN(RADIANS('Background calcs'!$G253))+V$66</f>
        <v>-99677.838549792184</v>
      </c>
      <c r="W253" s="1"/>
      <c r="X253" s="1">
        <f>'Geometry Calculator'!X$10/2*SIN(RADIANS('Background calcs'!$G253))+X$66</f>
        <v>-99668.745283052456</v>
      </c>
      <c r="Y253" s="1"/>
      <c r="Z253" s="1">
        <f>'Geometry Calculator'!Z$10/2*SIN(RADIANS('Background calcs'!$G253))+Z$66</f>
        <v>-99668.745283052456</v>
      </c>
      <c r="AB253" s="159"/>
      <c r="AC253" s="1"/>
      <c r="AD253" s="1"/>
    </row>
    <row r="254" spans="6:30" x14ac:dyDescent="0.25">
      <c r="F254" t="s">
        <v>260</v>
      </c>
      <c r="G254">
        <v>125</v>
      </c>
      <c r="H254" s="1">
        <f>'Geometry Calculator'!H$10/2*SIN(RADIANS('Background calcs'!$G254))+H$66</f>
        <v>303.08625638692695</v>
      </c>
      <c r="I254" s="1"/>
      <c r="J254" s="1">
        <f>'Geometry Calculator'!J$10/2*SIN(RADIANS('Background calcs'!$G254))+J$66</f>
        <v>303.08625638692695</v>
      </c>
      <c r="K254" s="1"/>
      <c r="L254" s="1">
        <f>'Geometry Calculator'!L$10/2*SIN(RADIANS('Background calcs'!$G254))+L$66</f>
        <v>-99691.179679303052</v>
      </c>
      <c r="M254" s="1"/>
      <c r="N254" s="1">
        <f>'Geometry Calculator'!N$10/2*SIN(RADIANS('Background calcs'!$G254))+N$66</f>
        <v>-99691.179679303052</v>
      </c>
      <c r="O254" s="1"/>
      <c r="P254" s="1">
        <f>'Geometry Calculator'!P$10/2*SIN(RADIANS('Background calcs'!$G254))+P$66</f>
        <v>-99702.647807923102</v>
      </c>
      <c r="Q254" s="1"/>
      <c r="R254" s="1">
        <f>'Geometry Calculator'!R$10/2*SIN(RADIANS('Background calcs'!$G254))+R$66</f>
        <v>-99702.647807923102</v>
      </c>
      <c r="S254" s="1"/>
      <c r="T254" s="1">
        <f>'Geometry Calculator'!T$10/2*SIN(RADIANS('Background calcs'!$G254))+T$66</f>
        <v>-99695.275439524499</v>
      </c>
      <c r="U254" s="1"/>
      <c r="V254" s="1">
        <f>'Geometry Calculator'!V$10/2*SIN(RADIANS('Background calcs'!$G254))+V$66</f>
        <v>-99695.275439524499</v>
      </c>
      <c r="W254" s="1"/>
      <c r="X254" s="1">
        <f>'Geometry Calculator'!X$10/2*SIN(RADIANS('Background calcs'!$G254))+X$66</f>
        <v>-99686.674343059465</v>
      </c>
      <c r="Y254" s="1"/>
      <c r="Z254" s="1">
        <f>'Geometry Calculator'!Z$10/2*SIN(RADIANS('Background calcs'!$G254))+Z$66</f>
        <v>-99686.674343059465</v>
      </c>
      <c r="AB254" s="159"/>
      <c r="AC254" s="1"/>
      <c r="AD254" s="1"/>
    </row>
    <row r="255" spans="6:30" x14ac:dyDescent="0.25">
      <c r="F255" t="s">
        <v>261</v>
      </c>
      <c r="G255">
        <v>130</v>
      </c>
      <c r="H255" s="1">
        <f>'Geometry Calculator'!H$10/2*SIN(RADIANS('Background calcs'!$G255))+H$66</f>
        <v>283.43644395402185</v>
      </c>
      <c r="I255" s="1"/>
      <c r="J255" s="1">
        <f>'Geometry Calculator'!J$10/2*SIN(RADIANS('Background calcs'!$G255))+J$66</f>
        <v>283.43644395402185</v>
      </c>
      <c r="K255" s="1"/>
      <c r="L255" s="1">
        <f>'Geometry Calculator'!L$10/2*SIN(RADIANS('Background calcs'!$G255))+L$66</f>
        <v>-99711.201244944139</v>
      </c>
      <c r="M255" s="1"/>
      <c r="N255" s="1">
        <f>'Geometry Calculator'!N$10/2*SIN(RADIANS('Background calcs'!$G255))+N$66</f>
        <v>-99711.201244944139</v>
      </c>
      <c r="O255" s="1"/>
      <c r="P255" s="1">
        <f>'Geometry Calculator'!P$10/2*SIN(RADIANS('Background calcs'!$G255))+P$66</f>
        <v>-99721.925867147816</v>
      </c>
      <c r="Q255" s="1"/>
      <c r="R255" s="1">
        <f>'Geometry Calculator'!R$10/2*SIN(RADIANS('Background calcs'!$G255))+R$66</f>
        <v>-99721.925867147816</v>
      </c>
      <c r="S255" s="1"/>
      <c r="T255" s="1">
        <f>'Geometry Calculator'!T$10/2*SIN(RADIANS('Background calcs'!$G255))+T$66</f>
        <v>-99715.031467159744</v>
      </c>
      <c r="U255" s="1"/>
      <c r="V255" s="1">
        <f>'Geometry Calculator'!V$10/2*SIN(RADIANS('Background calcs'!$G255))+V$66</f>
        <v>-99715.031467159744</v>
      </c>
      <c r="W255" s="1"/>
      <c r="X255" s="1">
        <f>'Geometry Calculator'!X$10/2*SIN(RADIANS('Background calcs'!$G255))+X$66</f>
        <v>-99706.988000506986</v>
      </c>
      <c r="Y255" s="1"/>
      <c r="Z255" s="1">
        <f>'Geometry Calculator'!Z$10/2*SIN(RADIANS('Background calcs'!$G255))+Z$66</f>
        <v>-99706.988000506986</v>
      </c>
      <c r="AB255" s="159"/>
      <c r="AC255" s="1"/>
      <c r="AD255" s="1"/>
    </row>
    <row r="256" spans="6:30" x14ac:dyDescent="0.25">
      <c r="F256" t="s">
        <v>160</v>
      </c>
      <c r="G256">
        <v>135</v>
      </c>
      <c r="H256" s="1">
        <f>'Geometry Calculator'!H$10/2*SIN(RADIANS('Background calcs'!$G256))+H$66</f>
        <v>261.62950903902259</v>
      </c>
      <c r="I256" s="1"/>
      <c r="J256" s="1">
        <f>'Geometry Calculator'!J$10/2*SIN(RADIANS('Background calcs'!$G256))+J$66</f>
        <v>261.62950903902259</v>
      </c>
      <c r="K256" s="1"/>
      <c r="L256" s="1">
        <f>'Geometry Calculator'!L$10/2*SIN(RADIANS('Background calcs'!$G256))+L$66</f>
        <v>-99733.420743492665</v>
      </c>
      <c r="M256" s="1"/>
      <c r="N256" s="1">
        <f>'Geometry Calculator'!N$10/2*SIN(RADIANS('Background calcs'!$G256))+N$66</f>
        <v>-99733.420743492665</v>
      </c>
      <c r="O256" s="1"/>
      <c r="P256" s="1">
        <f>'Geometry Calculator'!P$10/2*SIN(RADIANS('Background calcs'!$G256))+P$66</f>
        <v>-99743.320238429282</v>
      </c>
      <c r="Q256" s="1"/>
      <c r="R256" s="1">
        <f>'Geometry Calculator'!R$10/2*SIN(RADIANS('Background calcs'!$G256))+R$66</f>
        <v>-99743.320238429282</v>
      </c>
      <c r="S256" s="1"/>
      <c r="T256" s="1">
        <f>'Geometry Calculator'!T$10/2*SIN(RADIANS('Background calcs'!$G256))+T$66</f>
        <v>-99736.956277398611</v>
      </c>
      <c r="U256" s="1"/>
      <c r="V256" s="1">
        <f>'Geometry Calculator'!V$10/2*SIN(RADIANS('Background calcs'!$G256))+V$66</f>
        <v>-99736.956277398611</v>
      </c>
      <c r="W256" s="1"/>
      <c r="X256" s="1">
        <f>'Geometry Calculator'!X$10/2*SIN(RADIANS('Background calcs'!$G256))+X$66</f>
        <v>-99729.531656196152</v>
      </c>
      <c r="Y256" s="1"/>
      <c r="Z256" s="1">
        <f>'Geometry Calculator'!Z$10/2*SIN(RADIANS('Background calcs'!$G256))+Z$66</f>
        <v>-99729.531656196152</v>
      </c>
      <c r="AB256" s="159"/>
      <c r="AC256" s="1"/>
      <c r="AD256" s="1"/>
    </row>
    <row r="257" spans="6:30" x14ac:dyDescent="0.25">
      <c r="F257" t="s">
        <v>262</v>
      </c>
      <c r="G257">
        <v>140</v>
      </c>
      <c r="H257" s="1">
        <f>'Geometry Calculator'!H$10/2*SIN(RADIANS('Background calcs'!$G257))+H$66</f>
        <v>237.8314155840196</v>
      </c>
      <c r="I257" s="1"/>
      <c r="J257" s="1">
        <f>'Geometry Calculator'!J$10/2*SIN(RADIANS('Background calcs'!$G257))+J$66</f>
        <v>237.8314155840196</v>
      </c>
      <c r="K257" s="1"/>
      <c r="L257" s="1">
        <f>'Geometry Calculator'!L$10/2*SIN(RADIANS('Background calcs'!$G257))+L$66</f>
        <v>-99757.669071148179</v>
      </c>
      <c r="M257" s="1"/>
      <c r="N257" s="1">
        <f>'Geometry Calculator'!N$10/2*SIN(RADIANS('Background calcs'!$G257))+N$66</f>
        <v>-99757.669071148179</v>
      </c>
      <c r="O257" s="1"/>
      <c r="P257" s="1">
        <f>'Geometry Calculator'!P$10/2*SIN(RADIANS('Background calcs'!$G257))+P$66</f>
        <v>-99766.668097683782</v>
      </c>
      <c r="Q257" s="1"/>
      <c r="R257" s="1">
        <f>'Geometry Calculator'!R$10/2*SIN(RADIANS('Background calcs'!$G257))+R$66</f>
        <v>-99766.668097683782</v>
      </c>
      <c r="S257" s="1"/>
      <c r="T257" s="1">
        <f>'Geometry Calculator'!T$10/2*SIN(RADIANS('Background calcs'!$G257))+T$66</f>
        <v>-99760.883009196608</v>
      </c>
      <c r="U257" s="1"/>
      <c r="V257" s="1">
        <f>'Geometry Calculator'!V$10/2*SIN(RADIANS('Background calcs'!$G257))+V$66</f>
        <v>-99760.883009196608</v>
      </c>
      <c r="W257" s="1"/>
      <c r="X257" s="1">
        <f>'Geometry Calculator'!X$10/2*SIN(RADIANS('Background calcs'!$G257))+X$66</f>
        <v>-99754.133739294892</v>
      </c>
      <c r="Y257" s="1"/>
      <c r="Z257" s="1">
        <f>'Geometry Calculator'!Z$10/2*SIN(RADIANS('Background calcs'!$G257))+Z$66</f>
        <v>-99754.133739294892</v>
      </c>
      <c r="AB257" s="159"/>
      <c r="AC257" s="1"/>
      <c r="AD257" s="1"/>
    </row>
    <row r="258" spans="6:30" x14ac:dyDescent="0.25">
      <c r="F258" t="s">
        <v>263</v>
      </c>
      <c r="G258">
        <v>145</v>
      </c>
      <c r="H258" s="1">
        <f>'Geometry Calculator'!H$10/2*SIN(RADIANS('Background calcs'!$G258))+H$66</f>
        <v>212.223281449887</v>
      </c>
      <c r="I258" s="1"/>
      <c r="J258" s="1">
        <f>'Geometry Calculator'!J$10/2*SIN(RADIANS('Background calcs'!$G258))+J$66</f>
        <v>212.223281449887</v>
      </c>
      <c r="K258" s="1"/>
      <c r="L258" s="1">
        <f>'Geometry Calculator'!L$10/2*SIN(RADIANS('Background calcs'!$G258))+L$66</f>
        <v>-99783.761683495657</v>
      </c>
      <c r="M258" s="1"/>
      <c r="N258" s="1">
        <f>'Geometry Calculator'!N$10/2*SIN(RADIANS('Background calcs'!$G258))+N$66</f>
        <v>-99783.761683495657</v>
      </c>
      <c r="O258" s="1"/>
      <c r="P258" s="1">
        <f>'Geometry Calculator'!P$10/2*SIN(RADIANS('Background calcs'!$G258))+P$66</f>
        <v>-99791.791753604572</v>
      </c>
      <c r="Q258" s="1"/>
      <c r="R258" s="1">
        <f>'Geometry Calculator'!R$10/2*SIN(RADIANS('Background calcs'!$G258))+R$66</f>
        <v>-99791.791753604572</v>
      </c>
      <c r="S258" s="1"/>
      <c r="T258" s="1">
        <f>'Geometry Calculator'!T$10/2*SIN(RADIANS('Background calcs'!$G258))+T$66</f>
        <v>-99786.629565677416</v>
      </c>
      <c r="U258" s="1"/>
      <c r="V258" s="1">
        <f>'Geometry Calculator'!V$10/2*SIN(RADIANS('Background calcs'!$G258))+V$66</f>
        <v>-99786.629565677416</v>
      </c>
      <c r="W258" s="1"/>
      <c r="X258" s="1">
        <f>'Geometry Calculator'!X$10/2*SIN(RADIANS('Background calcs'!$G258))+X$66</f>
        <v>-99780.607013095723</v>
      </c>
      <c r="Y258" s="1"/>
      <c r="Z258" s="1">
        <f>'Geometry Calculator'!Z$10/2*SIN(RADIANS('Background calcs'!$G258))+Z$66</f>
        <v>-99780.607013095723</v>
      </c>
      <c r="AB258" s="159"/>
      <c r="AC258" s="1"/>
      <c r="AD258" s="1"/>
    </row>
    <row r="259" spans="6:30" x14ac:dyDescent="0.25">
      <c r="F259" t="s">
        <v>161</v>
      </c>
      <c r="G259">
        <v>150</v>
      </c>
      <c r="H259" s="1">
        <f>'Geometry Calculator'!H$10/2*SIN(RADIANS('Background calcs'!$G259))+H$66</f>
        <v>184.99999999999997</v>
      </c>
      <c r="I259" s="1"/>
      <c r="J259" s="1">
        <f>'Geometry Calculator'!J$10/2*SIN(RADIANS('Background calcs'!$G259))+J$66</f>
        <v>184.99999999999997</v>
      </c>
      <c r="K259" s="1"/>
      <c r="L259" s="1">
        <f>'Geometry Calculator'!L$10/2*SIN(RADIANS('Background calcs'!$G259))+L$66</f>
        <v>-99811.5</v>
      </c>
      <c r="M259" s="1"/>
      <c r="N259" s="1">
        <f>'Geometry Calculator'!N$10/2*SIN(RADIANS('Background calcs'!$G259))+N$66</f>
        <v>-99811.5</v>
      </c>
      <c r="O259" s="1"/>
      <c r="P259" s="1">
        <f>'Geometry Calculator'!P$10/2*SIN(RADIANS('Background calcs'!$G259))+P$66</f>
        <v>-99818.5</v>
      </c>
      <c r="Q259" s="1"/>
      <c r="R259" s="1">
        <f>'Geometry Calculator'!R$10/2*SIN(RADIANS('Background calcs'!$G259))+R$66</f>
        <v>-99818.5</v>
      </c>
      <c r="S259" s="1"/>
      <c r="T259" s="1">
        <f>'Geometry Calculator'!T$10/2*SIN(RADIANS('Background calcs'!$G259))+T$66</f>
        <v>-99814</v>
      </c>
      <c r="U259" s="1"/>
      <c r="V259" s="1">
        <f>'Geometry Calculator'!V$10/2*SIN(RADIANS('Background calcs'!$G259))+V$66</f>
        <v>-99814</v>
      </c>
      <c r="W259" s="1"/>
      <c r="X259" s="1">
        <f>'Geometry Calculator'!X$10/2*SIN(RADIANS('Background calcs'!$G259))+X$66</f>
        <v>-99808.75</v>
      </c>
      <c r="Y259" s="1"/>
      <c r="Z259" s="1">
        <f>'Geometry Calculator'!Z$10/2*SIN(RADIANS('Background calcs'!$G259))+Z$66</f>
        <v>-99808.75</v>
      </c>
      <c r="AB259" s="159"/>
      <c r="AC259" s="1"/>
      <c r="AD259" s="1"/>
    </row>
    <row r="260" spans="6:30" x14ac:dyDescent="0.25">
      <c r="F260" t="s">
        <v>264</v>
      </c>
      <c r="G260">
        <v>155</v>
      </c>
      <c r="H260" s="1">
        <f>'Geometry Calculator'!H$10/2*SIN(RADIANS('Background calcs'!$G260))+H$66</f>
        <v>156.36875684405882</v>
      </c>
      <c r="I260" s="1"/>
      <c r="J260" s="1">
        <f>'Geometry Calculator'!J$10/2*SIN(RADIANS('Background calcs'!$G260))+J$66</f>
        <v>156.36875684405882</v>
      </c>
      <c r="K260" s="1"/>
      <c r="L260" s="1">
        <f>'Geometry Calculator'!L$10/2*SIN(RADIANS('Background calcs'!$G260))+L$66</f>
        <v>-99840.672915323754</v>
      </c>
      <c r="M260" s="1"/>
      <c r="N260" s="1">
        <f>'Geometry Calculator'!N$10/2*SIN(RADIANS('Background calcs'!$G260))+N$66</f>
        <v>-99840.672915323754</v>
      </c>
      <c r="O260" s="1"/>
      <c r="P260" s="1">
        <f>'Geometry Calculator'!P$10/2*SIN(RADIANS('Background calcs'!$G260))+P$66</f>
        <v>-99846.58957098813</v>
      </c>
      <c r="Q260" s="1"/>
      <c r="R260" s="1">
        <f>'Geometry Calculator'!R$10/2*SIN(RADIANS('Background calcs'!$G260))+R$66</f>
        <v>-99846.58957098813</v>
      </c>
      <c r="S260" s="1"/>
      <c r="T260" s="1">
        <f>'Geometry Calculator'!T$10/2*SIN(RADIANS('Background calcs'!$G260))+T$66</f>
        <v>-99842.786006632465</v>
      </c>
      <c r="U260" s="1"/>
      <c r="V260" s="1">
        <f>'Geometry Calculator'!V$10/2*SIN(RADIANS('Background calcs'!$G260))+V$66</f>
        <v>-99842.786006632465</v>
      </c>
      <c r="W260" s="1"/>
      <c r="X260" s="1">
        <f>'Geometry Calculator'!X$10/2*SIN(RADIANS('Background calcs'!$G260))+X$66</f>
        <v>-99838.348514884186</v>
      </c>
      <c r="Y260" s="1"/>
      <c r="Z260" s="1">
        <f>'Geometry Calculator'!Z$10/2*SIN(RADIANS('Background calcs'!$G260))+Z$66</f>
        <v>-99838.348514884186</v>
      </c>
      <c r="AB260" s="159"/>
      <c r="AC260" s="1"/>
      <c r="AD260" s="1"/>
    </row>
    <row r="261" spans="6:30" x14ac:dyDescent="0.25">
      <c r="F261" t="s">
        <v>265</v>
      </c>
      <c r="G261">
        <v>160</v>
      </c>
      <c r="H261" s="1">
        <f>'Geometry Calculator'!H$10/2*SIN(RADIANS('Background calcs'!$G261))+H$66</f>
        <v>126.54745303049748</v>
      </c>
      <c r="I261" s="1"/>
      <c r="J261" s="1">
        <f>'Geometry Calculator'!J$10/2*SIN(RADIANS('Background calcs'!$G261))+J$66</f>
        <v>126.54745303049748</v>
      </c>
      <c r="K261" s="1"/>
      <c r="L261" s="1">
        <f>'Geometry Calculator'!L$10/2*SIN(RADIANS('Background calcs'!$G261))+L$66</f>
        <v>-99871.058405966221</v>
      </c>
      <c r="M261" s="1"/>
      <c r="N261" s="1">
        <f>'Geometry Calculator'!N$10/2*SIN(RADIANS('Background calcs'!$G261))+N$66</f>
        <v>-99871.058405966221</v>
      </c>
      <c r="O261" s="1"/>
      <c r="P261" s="1">
        <f>'Geometry Calculator'!P$10/2*SIN(RADIANS('Background calcs'!$G261))+P$66</f>
        <v>-99875.846687972778</v>
      </c>
      <c r="Q261" s="1"/>
      <c r="R261" s="1">
        <f>'Geometry Calculator'!R$10/2*SIN(RADIANS('Background calcs'!$G261))+R$66</f>
        <v>-99875.846687972778</v>
      </c>
      <c r="S261" s="1"/>
      <c r="T261" s="1">
        <f>'Geometry Calculator'!T$10/2*SIN(RADIANS('Background calcs'!$G261))+T$66</f>
        <v>-99872.768506682856</v>
      </c>
      <c r="U261" s="1"/>
      <c r="V261" s="1">
        <f>'Geometry Calculator'!V$10/2*SIN(RADIANS('Background calcs'!$G261))+V$66</f>
        <v>-99872.768506682856</v>
      </c>
      <c r="W261" s="1"/>
      <c r="X261" s="1">
        <f>'Geometry Calculator'!X$10/2*SIN(RADIANS('Background calcs'!$G261))+X$66</f>
        <v>-99869.177295177928</v>
      </c>
      <c r="Y261" s="1"/>
      <c r="Z261" s="1">
        <f>'Geometry Calculator'!Z$10/2*SIN(RADIANS('Background calcs'!$G261))+Z$66</f>
        <v>-99869.177295177928</v>
      </c>
      <c r="AB261" s="159"/>
      <c r="AC261" s="1"/>
      <c r="AD261" s="1"/>
    </row>
    <row r="262" spans="6:30" x14ac:dyDescent="0.25">
      <c r="F262" t="s">
        <v>162</v>
      </c>
      <c r="G262">
        <v>165</v>
      </c>
      <c r="H262" s="1">
        <f>'Geometry Calculator'!H$10/2*SIN(RADIANS('Background calcs'!$G262))+H$66</f>
        <v>95.763046687932771</v>
      </c>
      <c r="I262" s="1"/>
      <c r="J262" s="1">
        <f>'Geometry Calculator'!J$10/2*SIN(RADIANS('Background calcs'!$G262))+J$66</f>
        <v>95.763046687932771</v>
      </c>
      <c r="K262" s="1"/>
      <c r="L262" s="1">
        <f>'Geometry Calculator'!L$10/2*SIN(RADIANS('Background calcs'!$G262))+L$66</f>
        <v>-99902.425219996352</v>
      </c>
      <c r="M262" s="1"/>
      <c r="N262" s="1">
        <f>'Geometry Calculator'!N$10/2*SIN(RADIANS('Background calcs'!$G262))+N$66</f>
        <v>-99902.425219996352</v>
      </c>
      <c r="O262" s="1"/>
      <c r="P262" s="1">
        <f>'Geometry Calculator'!P$10/2*SIN(RADIANS('Background calcs'!$G262))+P$66</f>
        <v>-99906.048686627779</v>
      </c>
      <c r="Q262" s="1"/>
      <c r="R262" s="1">
        <f>'Geometry Calculator'!R$10/2*SIN(RADIANS('Background calcs'!$G262))+R$66</f>
        <v>-99906.048686627779</v>
      </c>
      <c r="S262" s="1"/>
      <c r="T262" s="1">
        <f>'Geometry Calculator'!T$10/2*SIN(RADIANS('Background calcs'!$G262))+T$66</f>
        <v>-99903.719315221868</v>
      </c>
      <c r="U262" s="1"/>
      <c r="V262" s="1">
        <f>'Geometry Calculator'!V$10/2*SIN(RADIANS('Background calcs'!$G262))+V$66</f>
        <v>-99903.719315221868</v>
      </c>
      <c r="W262" s="1"/>
      <c r="X262" s="1">
        <f>'Geometry Calculator'!X$10/2*SIN(RADIANS('Background calcs'!$G262))+X$66</f>
        <v>-99901.001715248291</v>
      </c>
      <c r="Y262" s="1"/>
      <c r="Z262" s="1">
        <f>'Geometry Calculator'!Z$10/2*SIN(RADIANS('Background calcs'!$G262))+Z$66</f>
        <v>-99901.001715248291</v>
      </c>
      <c r="AB262" s="159"/>
      <c r="AC262" s="1"/>
      <c r="AD262" s="1"/>
    </row>
    <row r="263" spans="6:30" x14ac:dyDescent="0.25">
      <c r="F263" t="s">
        <v>266</v>
      </c>
      <c r="G263">
        <v>170</v>
      </c>
      <c r="H263" s="1">
        <f>'Geometry Calculator'!H$10/2*SIN(RADIANS('Background calcs'!$G263))+H$66</f>
        <v>64.249825736764208</v>
      </c>
      <c r="I263" s="1"/>
      <c r="J263" s="1">
        <f>'Geometry Calculator'!J$10/2*SIN(RADIANS('Background calcs'!$G263))+J$66</f>
        <v>64.249825736764208</v>
      </c>
      <c r="K263" s="1"/>
      <c r="L263" s="1">
        <f>'Geometry Calculator'!L$10/2*SIN(RADIANS('Background calcs'!$G263))+L$66</f>
        <v>-99934.534637019562</v>
      </c>
      <c r="M263" s="1"/>
      <c r="N263" s="1">
        <f>'Geometry Calculator'!N$10/2*SIN(RADIANS('Background calcs'!$G263))+N$66</f>
        <v>-99934.534637019562</v>
      </c>
      <c r="O263" s="1"/>
      <c r="P263" s="1">
        <f>'Geometry Calculator'!P$10/2*SIN(RADIANS('Background calcs'!$G263))+P$66</f>
        <v>-99936.965711506899</v>
      </c>
      <c r="Q263" s="1"/>
      <c r="R263" s="1">
        <f>'Geometry Calculator'!R$10/2*SIN(RADIANS('Background calcs'!$G263))+R$66</f>
        <v>-99936.965711506899</v>
      </c>
      <c r="S263" s="1"/>
      <c r="T263" s="1">
        <f>'Geometry Calculator'!T$10/2*SIN(RADIANS('Background calcs'!$G263))+T$66</f>
        <v>-99935.402877907909</v>
      </c>
      <c r="U263" s="1"/>
      <c r="V263" s="1">
        <f>'Geometry Calculator'!V$10/2*SIN(RADIANS('Background calcs'!$G263))+V$66</f>
        <v>-99935.402877907909</v>
      </c>
      <c r="W263" s="1"/>
      <c r="X263" s="1">
        <f>'Geometry Calculator'!X$10/2*SIN(RADIANS('Background calcs'!$G263))+X$66</f>
        <v>-99933.579572042392</v>
      </c>
      <c r="Y263" s="1"/>
      <c r="Z263" s="1">
        <f>'Geometry Calculator'!Z$10/2*SIN(RADIANS('Background calcs'!$G263))+Z$66</f>
        <v>-99933.579572042392</v>
      </c>
      <c r="AB263" s="159"/>
      <c r="AC263" s="1"/>
      <c r="AD263" s="1"/>
    </row>
    <row r="264" spans="6:30" x14ac:dyDescent="0.25">
      <c r="F264" t="s">
        <v>267</v>
      </c>
      <c r="G264">
        <v>175</v>
      </c>
      <c r="H264" s="1">
        <f>'Geometry Calculator'!H$10/2*SIN(RADIANS('Background calcs'!$G264))+H$66</f>
        <v>32.247624816633532</v>
      </c>
      <c r="I264" s="1"/>
      <c r="J264" s="1">
        <f>'Geometry Calculator'!J$10/2*SIN(RADIANS('Background calcs'!$G264))+J$66</f>
        <v>32.247624816633532</v>
      </c>
      <c r="K264" s="1"/>
      <c r="L264" s="1">
        <f>'Geometry Calculator'!L$10/2*SIN(RADIANS('Background calcs'!$G264))+L$66</f>
        <v>-99967.142284984133</v>
      </c>
      <c r="M264" s="1"/>
      <c r="N264" s="1">
        <f>'Geometry Calculator'!N$10/2*SIN(RADIANS('Background calcs'!$G264))+N$66</f>
        <v>-99967.142284984133</v>
      </c>
      <c r="O264" s="1"/>
      <c r="P264" s="1">
        <f>'Geometry Calculator'!P$10/2*SIN(RADIANS('Background calcs'!$G264))+P$66</f>
        <v>-99968.362465382597</v>
      </c>
      <c r="Q264" s="1"/>
      <c r="R264" s="1">
        <f>'Geometry Calculator'!R$10/2*SIN(RADIANS('Background calcs'!$G264))+R$66</f>
        <v>-99968.362465382597</v>
      </c>
      <c r="S264" s="1"/>
      <c r="T264" s="1">
        <f>'Geometry Calculator'!T$10/2*SIN(RADIANS('Background calcs'!$G264))+T$66</f>
        <v>-99967.578063697874</v>
      </c>
      <c r="U264" s="1"/>
      <c r="V264" s="1">
        <f>'Geometry Calculator'!V$10/2*SIN(RADIANS('Background calcs'!$G264))+V$66</f>
        <v>-99967.578063697874</v>
      </c>
      <c r="W264" s="1"/>
      <c r="X264" s="1">
        <f>'Geometry Calculator'!X$10/2*SIN(RADIANS('Background calcs'!$G264))+X$66</f>
        <v>-99966.662928399019</v>
      </c>
      <c r="Y264" s="1"/>
      <c r="Z264" s="1">
        <f>'Geometry Calculator'!Z$10/2*SIN(RADIANS('Background calcs'!$G264))+Z$66</f>
        <v>-99966.662928399019</v>
      </c>
      <c r="AB264" s="159"/>
      <c r="AC264" s="1"/>
      <c r="AD264" s="1"/>
    </row>
    <row r="265" spans="6:30" x14ac:dyDescent="0.25">
      <c r="F265" t="s">
        <v>163</v>
      </c>
      <c r="G265">
        <v>180</v>
      </c>
      <c r="H265" s="1">
        <f>'Geometry Calculator'!H$10/2*SIN(RADIANS('Background calcs'!$G265))+H$66</f>
        <v>4.533049283161894E-14</v>
      </c>
      <c r="I265" s="1"/>
      <c r="J265" s="1">
        <f>'Geometry Calculator'!J$10/2*SIN(RADIANS('Background calcs'!$G265))+J$66</f>
        <v>4.533049283161894E-14</v>
      </c>
      <c r="K265" s="1"/>
      <c r="L265" s="1">
        <f>'Geometry Calculator'!L$10/2*SIN(RADIANS('Background calcs'!$G265))+L$66</f>
        <v>-100000</v>
      </c>
      <c r="M265" s="1"/>
      <c r="N265" s="1">
        <f>'Geometry Calculator'!N$10/2*SIN(RADIANS('Background calcs'!$G265))+N$66</f>
        <v>-100000</v>
      </c>
      <c r="O265" s="1"/>
      <c r="P265" s="1">
        <f>'Geometry Calculator'!P$10/2*SIN(RADIANS('Background calcs'!$G265))+P$66</f>
        <v>-100000</v>
      </c>
      <c r="Q265" s="1"/>
      <c r="R265" s="1">
        <f>'Geometry Calculator'!R$10/2*SIN(RADIANS('Background calcs'!$G265))+R$66</f>
        <v>-100000</v>
      </c>
      <c r="S265" s="1"/>
      <c r="T265" s="1">
        <f>'Geometry Calculator'!T$10/2*SIN(RADIANS('Background calcs'!$G265))+T$66</f>
        <v>-100000</v>
      </c>
      <c r="U265" s="1"/>
      <c r="V265" s="1">
        <f>'Geometry Calculator'!V$10/2*SIN(RADIANS('Background calcs'!$G265))+V$66</f>
        <v>-100000</v>
      </c>
      <c r="W265" s="1"/>
      <c r="X265" s="1">
        <f>'Geometry Calculator'!X$10/2*SIN(RADIANS('Background calcs'!$G265))+X$66</f>
        <v>-100000</v>
      </c>
      <c r="Y265" s="1"/>
      <c r="Z265" s="1">
        <f>'Geometry Calculator'!Z$10/2*SIN(RADIANS('Background calcs'!$G265))+Z$66</f>
        <v>-100000</v>
      </c>
      <c r="AB265" s="159"/>
      <c r="AC265" s="1"/>
      <c r="AD265" s="1"/>
    </row>
    <row r="266" spans="6:30" x14ac:dyDescent="0.25">
      <c r="F266" t="s">
        <v>268</v>
      </c>
      <c r="G266">
        <v>185</v>
      </c>
      <c r="H266" s="1">
        <f>'Geometry Calculator'!H$10/2*SIN(RADIANS('Background calcs'!$G266))+H$66</f>
        <v>-32.24762481663344</v>
      </c>
      <c r="I266" s="1"/>
      <c r="J266" s="1">
        <f>'Geometry Calculator'!J$10/2*SIN(RADIANS('Background calcs'!$G266))+J$66</f>
        <v>-32.24762481663344</v>
      </c>
      <c r="K266" s="1"/>
      <c r="L266" s="1">
        <f>'Geometry Calculator'!L$10/2*SIN(RADIANS('Background calcs'!$G266))+L$66</f>
        <v>-100032.85771501587</v>
      </c>
      <c r="M266" s="1"/>
      <c r="N266" s="1">
        <f>'Geometry Calculator'!N$10/2*SIN(RADIANS('Background calcs'!$G266))+N$66</f>
        <v>-100032.85771501587</v>
      </c>
      <c r="O266" s="1"/>
      <c r="P266" s="1">
        <f>'Geometry Calculator'!P$10/2*SIN(RADIANS('Background calcs'!$G266))+P$66</f>
        <v>-100031.6375346174</v>
      </c>
      <c r="Q266" s="1"/>
      <c r="R266" s="1">
        <f>'Geometry Calculator'!R$10/2*SIN(RADIANS('Background calcs'!$G266))+R$66</f>
        <v>-100031.6375346174</v>
      </c>
      <c r="S266" s="1"/>
      <c r="T266" s="1">
        <f>'Geometry Calculator'!T$10/2*SIN(RADIANS('Background calcs'!$G266))+T$66</f>
        <v>-100032.42193630213</v>
      </c>
      <c r="U266" s="1"/>
      <c r="V266" s="1">
        <f>'Geometry Calculator'!V$10/2*SIN(RADIANS('Background calcs'!$G266))+V$66</f>
        <v>-100032.42193630213</v>
      </c>
      <c r="W266" s="1"/>
      <c r="X266" s="1">
        <f>'Geometry Calculator'!X$10/2*SIN(RADIANS('Background calcs'!$G266))+X$66</f>
        <v>-100033.33707160098</v>
      </c>
      <c r="Y266" s="1"/>
      <c r="Z266" s="1">
        <f>'Geometry Calculator'!Z$10/2*SIN(RADIANS('Background calcs'!$G266))+Z$66</f>
        <v>-100033.33707160098</v>
      </c>
      <c r="AB266" s="159"/>
      <c r="AC266" s="1"/>
      <c r="AD266" s="1"/>
    </row>
    <row r="267" spans="6:30" x14ac:dyDescent="0.25">
      <c r="F267" t="s">
        <v>269</v>
      </c>
      <c r="G267">
        <v>190</v>
      </c>
      <c r="H267" s="1">
        <f>'Geometry Calculator'!H$10/2*SIN(RADIANS('Background calcs'!$G267))+H$66</f>
        <v>-64.249825736764279</v>
      </c>
      <c r="I267" s="1"/>
      <c r="J267" s="1">
        <f>'Geometry Calculator'!J$10/2*SIN(RADIANS('Background calcs'!$G267))+J$66</f>
        <v>-64.249825736764279</v>
      </c>
      <c r="K267" s="1"/>
      <c r="L267" s="1">
        <f>'Geometry Calculator'!L$10/2*SIN(RADIANS('Background calcs'!$G267))+L$66</f>
        <v>-100065.46536298044</v>
      </c>
      <c r="M267" s="1"/>
      <c r="N267" s="1">
        <f>'Geometry Calculator'!N$10/2*SIN(RADIANS('Background calcs'!$G267))+N$66</f>
        <v>-100065.46536298044</v>
      </c>
      <c r="O267" s="1"/>
      <c r="P267" s="1">
        <f>'Geometry Calculator'!P$10/2*SIN(RADIANS('Background calcs'!$G267))+P$66</f>
        <v>-100063.0342884931</v>
      </c>
      <c r="Q267" s="1"/>
      <c r="R267" s="1">
        <f>'Geometry Calculator'!R$10/2*SIN(RADIANS('Background calcs'!$G267))+R$66</f>
        <v>-100063.0342884931</v>
      </c>
      <c r="S267" s="1"/>
      <c r="T267" s="1">
        <f>'Geometry Calculator'!T$10/2*SIN(RADIANS('Background calcs'!$G267))+T$66</f>
        <v>-100064.59712209209</v>
      </c>
      <c r="U267" s="1"/>
      <c r="V267" s="1">
        <f>'Geometry Calculator'!V$10/2*SIN(RADIANS('Background calcs'!$G267))+V$66</f>
        <v>-100064.59712209209</v>
      </c>
      <c r="W267" s="1"/>
      <c r="X267" s="1">
        <f>'Geometry Calculator'!X$10/2*SIN(RADIANS('Background calcs'!$G267))+X$66</f>
        <v>-100066.42042795761</v>
      </c>
      <c r="Y267" s="1"/>
      <c r="Z267" s="1">
        <f>'Geometry Calculator'!Z$10/2*SIN(RADIANS('Background calcs'!$G267))+Z$66</f>
        <v>-100066.42042795761</v>
      </c>
      <c r="AB267" s="159"/>
      <c r="AC267" s="1"/>
      <c r="AD267" s="1"/>
    </row>
    <row r="268" spans="6:30" x14ac:dyDescent="0.25">
      <c r="F268" t="s">
        <v>164</v>
      </c>
      <c r="G268">
        <v>195</v>
      </c>
      <c r="H268" s="1">
        <f>'Geometry Calculator'!H$10/2*SIN(RADIANS('Background calcs'!$G268))+H$66</f>
        <v>-95.7630466879327</v>
      </c>
      <c r="I268" s="1"/>
      <c r="J268" s="1">
        <f>'Geometry Calculator'!J$10/2*SIN(RADIANS('Background calcs'!$G268))+J$66</f>
        <v>-95.7630466879327</v>
      </c>
      <c r="K268" s="1"/>
      <c r="L268" s="1">
        <f>'Geometry Calculator'!L$10/2*SIN(RADIANS('Background calcs'!$G268))+L$66</f>
        <v>-100097.57478000365</v>
      </c>
      <c r="M268" s="1"/>
      <c r="N268" s="1">
        <f>'Geometry Calculator'!N$10/2*SIN(RADIANS('Background calcs'!$G268))+N$66</f>
        <v>-100097.57478000365</v>
      </c>
      <c r="O268" s="1"/>
      <c r="P268" s="1">
        <f>'Geometry Calculator'!P$10/2*SIN(RADIANS('Background calcs'!$G268))+P$66</f>
        <v>-100093.95131337222</v>
      </c>
      <c r="Q268" s="1"/>
      <c r="R268" s="1">
        <f>'Geometry Calculator'!R$10/2*SIN(RADIANS('Background calcs'!$G268))+R$66</f>
        <v>-100093.95131337222</v>
      </c>
      <c r="S268" s="1"/>
      <c r="T268" s="1">
        <f>'Geometry Calculator'!T$10/2*SIN(RADIANS('Background calcs'!$G268))+T$66</f>
        <v>-100096.28068477813</v>
      </c>
      <c r="U268" s="1"/>
      <c r="V268" s="1">
        <f>'Geometry Calculator'!V$10/2*SIN(RADIANS('Background calcs'!$G268))+V$66</f>
        <v>-100096.28068477813</v>
      </c>
      <c r="W268" s="1"/>
      <c r="X268" s="1">
        <f>'Geometry Calculator'!X$10/2*SIN(RADIANS('Background calcs'!$G268))+X$66</f>
        <v>-100098.99828475171</v>
      </c>
      <c r="Y268" s="1"/>
      <c r="Z268" s="1">
        <f>'Geometry Calculator'!Z$10/2*SIN(RADIANS('Background calcs'!$G268))+Z$66</f>
        <v>-100098.99828475171</v>
      </c>
      <c r="AB268" s="159"/>
      <c r="AC268" s="1"/>
      <c r="AD268" s="1"/>
    </row>
    <row r="269" spans="6:30" x14ac:dyDescent="0.25">
      <c r="F269" t="s">
        <v>270</v>
      </c>
      <c r="G269">
        <v>200</v>
      </c>
      <c r="H269" s="1">
        <f>'Geometry Calculator'!H$10/2*SIN(RADIANS('Background calcs'!$G269))+H$66</f>
        <v>-126.54745303049741</v>
      </c>
      <c r="I269" s="1"/>
      <c r="J269" s="1">
        <f>'Geometry Calculator'!J$10/2*SIN(RADIANS('Background calcs'!$G269))+J$66</f>
        <v>-126.54745303049741</v>
      </c>
      <c r="K269" s="1"/>
      <c r="L269" s="1">
        <f>'Geometry Calculator'!L$10/2*SIN(RADIANS('Background calcs'!$G269))+L$66</f>
        <v>-100128.94159403378</v>
      </c>
      <c r="M269" s="1"/>
      <c r="N269" s="1">
        <f>'Geometry Calculator'!N$10/2*SIN(RADIANS('Background calcs'!$G269))+N$66</f>
        <v>-100128.94159403378</v>
      </c>
      <c r="O269" s="1"/>
      <c r="P269" s="1">
        <f>'Geometry Calculator'!P$10/2*SIN(RADIANS('Background calcs'!$G269))+P$66</f>
        <v>-100124.15331202722</v>
      </c>
      <c r="Q269" s="1"/>
      <c r="R269" s="1">
        <f>'Geometry Calculator'!R$10/2*SIN(RADIANS('Background calcs'!$G269))+R$66</f>
        <v>-100124.15331202722</v>
      </c>
      <c r="S269" s="1"/>
      <c r="T269" s="1">
        <f>'Geometry Calculator'!T$10/2*SIN(RADIANS('Background calcs'!$G269))+T$66</f>
        <v>-100127.23149331714</v>
      </c>
      <c r="U269" s="1"/>
      <c r="V269" s="1">
        <f>'Geometry Calculator'!V$10/2*SIN(RADIANS('Background calcs'!$G269))+V$66</f>
        <v>-100127.23149331714</v>
      </c>
      <c r="W269" s="1"/>
      <c r="X269" s="1">
        <f>'Geometry Calculator'!X$10/2*SIN(RADIANS('Background calcs'!$G269))+X$66</f>
        <v>-100130.82270482207</v>
      </c>
      <c r="Y269" s="1"/>
      <c r="Z269" s="1">
        <f>'Geometry Calculator'!Z$10/2*SIN(RADIANS('Background calcs'!$G269))+Z$66</f>
        <v>-100130.82270482207</v>
      </c>
      <c r="AB269" s="159"/>
      <c r="AC269" s="1"/>
      <c r="AD269" s="1"/>
    </row>
    <row r="270" spans="6:30" x14ac:dyDescent="0.25">
      <c r="F270" t="s">
        <v>271</v>
      </c>
      <c r="G270">
        <v>205</v>
      </c>
      <c r="H270" s="1">
        <f>'Geometry Calculator'!H$10/2*SIN(RADIANS('Background calcs'!$G270))+H$66</f>
        <v>-156.36875684405874</v>
      </c>
      <c r="I270" s="1"/>
      <c r="J270" s="1">
        <f>'Geometry Calculator'!J$10/2*SIN(RADIANS('Background calcs'!$G270))+J$66</f>
        <v>-156.36875684405874</v>
      </c>
      <c r="K270" s="1"/>
      <c r="L270" s="1">
        <f>'Geometry Calculator'!L$10/2*SIN(RADIANS('Background calcs'!$G270))+L$66</f>
        <v>-100159.32708467625</v>
      </c>
      <c r="M270" s="1"/>
      <c r="N270" s="1">
        <f>'Geometry Calculator'!N$10/2*SIN(RADIANS('Background calcs'!$G270))+N$66</f>
        <v>-100159.32708467625</v>
      </c>
      <c r="O270" s="1"/>
      <c r="P270" s="1">
        <f>'Geometry Calculator'!P$10/2*SIN(RADIANS('Background calcs'!$G270))+P$66</f>
        <v>-100153.41042901187</v>
      </c>
      <c r="Q270" s="1"/>
      <c r="R270" s="1">
        <f>'Geometry Calculator'!R$10/2*SIN(RADIANS('Background calcs'!$G270))+R$66</f>
        <v>-100153.41042901187</v>
      </c>
      <c r="S270" s="1"/>
      <c r="T270" s="1">
        <f>'Geometry Calculator'!T$10/2*SIN(RADIANS('Background calcs'!$G270))+T$66</f>
        <v>-100157.21399336754</v>
      </c>
      <c r="U270" s="1"/>
      <c r="V270" s="1">
        <f>'Geometry Calculator'!V$10/2*SIN(RADIANS('Background calcs'!$G270))+V$66</f>
        <v>-100157.21399336754</v>
      </c>
      <c r="W270" s="1"/>
      <c r="X270" s="1">
        <f>'Geometry Calculator'!X$10/2*SIN(RADIANS('Background calcs'!$G270))+X$66</f>
        <v>-100161.65148511581</v>
      </c>
      <c r="Y270" s="1"/>
      <c r="Z270" s="1">
        <f>'Geometry Calculator'!Z$10/2*SIN(RADIANS('Background calcs'!$G270))+Z$66</f>
        <v>-100161.65148511581</v>
      </c>
      <c r="AB270" s="159"/>
      <c r="AC270" s="1"/>
      <c r="AD270" s="1"/>
    </row>
    <row r="271" spans="6:30" x14ac:dyDescent="0.25">
      <c r="F271" t="s">
        <v>165</v>
      </c>
      <c r="G271">
        <v>210</v>
      </c>
      <c r="H271" s="1">
        <f>'Geometry Calculator'!H$10/2*SIN(RADIANS('Background calcs'!$G271))+H$66</f>
        <v>-185.00000000000003</v>
      </c>
      <c r="I271" s="1"/>
      <c r="J271" s="1">
        <f>'Geometry Calculator'!J$10/2*SIN(RADIANS('Background calcs'!$G271))+J$66</f>
        <v>-185.00000000000003</v>
      </c>
      <c r="K271" s="1"/>
      <c r="L271" s="1">
        <f>'Geometry Calculator'!L$10/2*SIN(RADIANS('Background calcs'!$G271))+L$66</f>
        <v>-100188.5</v>
      </c>
      <c r="M271" s="1"/>
      <c r="N271" s="1">
        <f>'Geometry Calculator'!N$10/2*SIN(RADIANS('Background calcs'!$G271))+N$66</f>
        <v>-100188.5</v>
      </c>
      <c r="O271" s="1"/>
      <c r="P271" s="1">
        <f>'Geometry Calculator'!P$10/2*SIN(RADIANS('Background calcs'!$G271))+P$66</f>
        <v>-100181.5</v>
      </c>
      <c r="Q271" s="1"/>
      <c r="R271" s="1">
        <f>'Geometry Calculator'!R$10/2*SIN(RADIANS('Background calcs'!$G271))+R$66</f>
        <v>-100181.5</v>
      </c>
      <c r="S271" s="1"/>
      <c r="T271" s="1">
        <f>'Geometry Calculator'!T$10/2*SIN(RADIANS('Background calcs'!$G271))+T$66</f>
        <v>-100186</v>
      </c>
      <c r="U271" s="1"/>
      <c r="V271" s="1">
        <f>'Geometry Calculator'!V$10/2*SIN(RADIANS('Background calcs'!$G271))+V$66</f>
        <v>-100186</v>
      </c>
      <c r="W271" s="1"/>
      <c r="X271" s="1">
        <f>'Geometry Calculator'!X$10/2*SIN(RADIANS('Background calcs'!$G271))+X$66</f>
        <v>-100191.25</v>
      </c>
      <c r="Y271" s="1"/>
      <c r="Z271" s="1">
        <f>'Geometry Calculator'!Z$10/2*SIN(RADIANS('Background calcs'!$G271))+Z$66</f>
        <v>-100191.25</v>
      </c>
      <c r="AB271" s="159"/>
      <c r="AC271" s="1"/>
      <c r="AD271" s="1"/>
    </row>
    <row r="272" spans="6:30" x14ac:dyDescent="0.25">
      <c r="F272" t="s">
        <v>272</v>
      </c>
      <c r="G272">
        <v>215</v>
      </c>
      <c r="H272" s="1">
        <f>'Geometry Calculator'!H$10/2*SIN(RADIANS('Background calcs'!$G272))+H$66</f>
        <v>-212.22328144988708</v>
      </c>
      <c r="I272" s="1"/>
      <c r="J272" s="1">
        <f>'Geometry Calculator'!J$10/2*SIN(RADIANS('Background calcs'!$G272))+J$66</f>
        <v>-212.22328144988708</v>
      </c>
      <c r="K272" s="1"/>
      <c r="L272" s="1">
        <f>'Geometry Calculator'!L$10/2*SIN(RADIANS('Background calcs'!$G272))+L$66</f>
        <v>-100216.23831650434</v>
      </c>
      <c r="M272" s="1"/>
      <c r="N272" s="1">
        <f>'Geometry Calculator'!N$10/2*SIN(RADIANS('Background calcs'!$G272))+N$66</f>
        <v>-100216.23831650434</v>
      </c>
      <c r="O272" s="1"/>
      <c r="P272" s="1">
        <f>'Geometry Calculator'!P$10/2*SIN(RADIANS('Background calcs'!$G272))+P$66</f>
        <v>-100208.20824639543</v>
      </c>
      <c r="Q272" s="1"/>
      <c r="R272" s="1">
        <f>'Geometry Calculator'!R$10/2*SIN(RADIANS('Background calcs'!$G272))+R$66</f>
        <v>-100208.20824639543</v>
      </c>
      <c r="S272" s="1"/>
      <c r="T272" s="1">
        <f>'Geometry Calculator'!T$10/2*SIN(RADIANS('Background calcs'!$G272))+T$66</f>
        <v>-100213.37043432258</v>
      </c>
      <c r="U272" s="1"/>
      <c r="V272" s="1">
        <f>'Geometry Calculator'!V$10/2*SIN(RADIANS('Background calcs'!$G272))+V$66</f>
        <v>-100213.37043432258</v>
      </c>
      <c r="W272" s="1"/>
      <c r="X272" s="1">
        <f>'Geometry Calculator'!X$10/2*SIN(RADIANS('Background calcs'!$G272))+X$66</f>
        <v>-100219.39298690428</v>
      </c>
      <c r="Y272" s="1"/>
      <c r="Z272" s="1">
        <f>'Geometry Calculator'!Z$10/2*SIN(RADIANS('Background calcs'!$G272))+Z$66</f>
        <v>-100219.39298690428</v>
      </c>
      <c r="AB272" s="159"/>
      <c r="AC272" s="1"/>
      <c r="AD272" s="1"/>
    </row>
    <row r="273" spans="6:30" x14ac:dyDescent="0.25">
      <c r="F273" t="s">
        <v>273</v>
      </c>
      <c r="G273">
        <v>220</v>
      </c>
      <c r="H273" s="1">
        <f>'Geometry Calculator'!H$10/2*SIN(RADIANS('Background calcs'!$G273))+H$66</f>
        <v>-237.83141558401951</v>
      </c>
      <c r="I273" s="1"/>
      <c r="J273" s="1">
        <f>'Geometry Calculator'!J$10/2*SIN(RADIANS('Background calcs'!$G273))+J$66</f>
        <v>-237.83141558401951</v>
      </c>
      <c r="K273" s="1"/>
      <c r="L273" s="1">
        <f>'Geometry Calculator'!L$10/2*SIN(RADIANS('Background calcs'!$G273))+L$66</f>
        <v>-100242.33092885182</v>
      </c>
      <c r="M273" s="1"/>
      <c r="N273" s="1">
        <f>'Geometry Calculator'!N$10/2*SIN(RADIANS('Background calcs'!$G273))+N$66</f>
        <v>-100242.33092885182</v>
      </c>
      <c r="O273" s="1"/>
      <c r="P273" s="1">
        <f>'Geometry Calculator'!P$10/2*SIN(RADIANS('Background calcs'!$G273))+P$66</f>
        <v>-100233.33190231622</v>
      </c>
      <c r="Q273" s="1"/>
      <c r="R273" s="1">
        <f>'Geometry Calculator'!R$10/2*SIN(RADIANS('Background calcs'!$G273))+R$66</f>
        <v>-100233.33190231622</v>
      </c>
      <c r="S273" s="1"/>
      <c r="T273" s="1">
        <f>'Geometry Calculator'!T$10/2*SIN(RADIANS('Background calcs'!$G273))+T$66</f>
        <v>-100239.11699080339</v>
      </c>
      <c r="U273" s="1"/>
      <c r="V273" s="1">
        <f>'Geometry Calculator'!V$10/2*SIN(RADIANS('Background calcs'!$G273))+V$66</f>
        <v>-100239.11699080339</v>
      </c>
      <c r="W273" s="1"/>
      <c r="X273" s="1">
        <f>'Geometry Calculator'!X$10/2*SIN(RADIANS('Background calcs'!$G273))+X$66</f>
        <v>-100245.86626070511</v>
      </c>
      <c r="Y273" s="1"/>
      <c r="Z273" s="1">
        <f>'Geometry Calculator'!Z$10/2*SIN(RADIANS('Background calcs'!$G273))+Z$66</f>
        <v>-100245.86626070511</v>
      </c>
      <c r="AB273" s="159"/>
      <c r="AC273" s="1"/>
      <c r="AD273" s="1"/>
    </row>
    <row r="274" spans="6:30" x14ac:dyDescent="0.25">
      <c r="F274" t="s">
        <v>166</v>
      </c>
      <c r="G274">
        <v>225</v>
      </c>
      <c r="H274" s="1">
        <f>'Geometry Calculator'!H$10/2*SIN(RADIANS('Background calcs'!$G274))+H$66</f>
        <v>-261.62950903902254</v>
      </c>
      <c r="I274" s="1"/>
      <c r="J274" s="1">
        <f>'Geometry Calculator'!J$10/2*SIN(RADIANS('Background calcs'!$G274))+J$66</f>
        <v>-261.62950903902254</v>
      </c>
      <c r="K274" s="1"/>
      <c r="L274" s="1">
        <f>'Geometry Calculator'!L$10/2*SIN(RADIANS('Background calcs'!$G274))+L$66</f>
        <v>-100266.57925650734</v>
      </c>
      <c r="M274" s="1"/>
      <c r="N274" s="1">
        <f>'Geometry Calculator'!N$10/2*SIN(RADIANS('Background calcs'!$G274))+N$66</f>
        <v>-100266.57925650734</v>
      </c>
      <c r="O274" s="1"/>
      <c r="P274" s="1">
        <f>'Geometry Calculator'!P$10/2*SIN(RADIANS('Background calcs'!$G274))+P$66</f>
        <v>-100256.67976157072</v>
      </c>
      <c r="Q274" s="1"/>
      <c r="R274" s="1">
        <f>'Geometry Calculator'!R$10/2*SIN(RADIANS('Background calcs'!$G274))+R$66</f>
        <v>-100256.67976157072</v>
      </c>
      <c r="S274" s="1"/>
      <c r="T274" s="1">
        <f>'Geometry Calculator'!T$10/2*SIN(RADIANS('Background calcs'!$G274))+T$66</f>
        <v>-100263.04372260139</v>
      </c>
      <c r="U274" s="1"/>
      <c r="V274" s="1">
        <f>'Geometry Calculator'!V$10/2*SIN(RADIANS('Background calcs'!$G274))+V$66</f>
        <v>-100263.04372260139</v>
      </c>
      <c r="W274" s="1"/>
      <c r="X274" s="1">
        <f>'Geometry Calculator'!X$10/2*SIN(RADIANS('Background calcs'!$G274))+X$66</f>
        <v>-100270.46834380385</v>
      </c>
      <c r="Y274" s="1"/>
      <c r="Z274" s="1">
        <f>'Geometry Calculator'!Z$10/2*SIN(RADIANS('Background calcs'!$G274))+Z$66</f>
        <v>-100270.46834380385</v>
      </c>
      <c r="AB274" s="159"/>
      <c r="AC274" s="1"/>
      <c r="AD274" s="1"/>
    </row>
    <row r="275" spans="6:30" x14ac:dyDescent="0.25">
      <c r="F275" t="s">
        <v>274</v>
      </c>
      <c r="G275">
        <v>230</v>
      </c>
      <c r="H275" s="1">
        <f>'Geometry Calculator'!H$10/2*SIN(RADIANS('Background calcs'!$G275))+H$66</f>
        <v>-283.4364439540218</v>
      </c>
      <c r="I275" s="1"/>
      <c r="J275" s="1">
        <f>'Geometry Calculator'!J$10/2*SIN(RADIANS('Background calcs'!$G275))+J$66</f>
        <v>-283.4364439540218</v>
      </c>
      <c r="K275" s="1"/>
      <c r="L275" s="1">
        <f>'Geometry Calculator'!L$10/2*SIN(RADIANS('Background calcs'!$G275))+L$66</f>
        <v>-100288.79875505586</v>
      </c>
      <c r="M275" s="1"/>
      <c r="N275" s="1">
        <f>'Geometry Calculator'!N$10/2*SIN(RADIANS('Background calcs'!$G275))+N$66</f>
        <v>-100288.79875505586</v>
      </c>
      <c r="O275" s="1"/>
      <c r="P275" s="1">
        <f>'Geometry Calculator'!P$10/2*SIN(RADIANS('Background calcs'!$G275))+P$66</f>
        <v>-100278.07413285218</v>
      </c>
      <c r="Q275" s="1"/>
      <c r="R275" s="1">
        <f>'Geometry Calculator'!R$10/2*SIN(RADIANS('Background calcs'!$G275))+R$66</f>
        <v>-100278.07413285218</v>
      </c>
      <c r="S275" s="1"/>
      <c r="T275" s="1">
        <f>'Geometry Calculator'!T$10/2*SIN(RADIANS('Background calcs'!$G275))+T$66</f>
        <v>-100284.96853284026</v>
      </c>
      <c r="U275" s="1"/>
      <c r="V275" s="1">
        <f>'Geometry Calculator'!V$10/2*SIN(RADIANS('Background calcs'!$G275))+V$66</f>
        <v>-100284.96853284026</v>
      </c>
      <c r="W275" s="1"/>
      <c r="X275" s="1">
        <f>'Geometry Calculator'!X$10/2*SIN(RADIANS('Background calcs'!$G275))+X$66</f>
        <v>-100293.01199949301</v>
      </c>
      <c r="Y275" s="1"/>
      <c r="Z275" s="1">
        <f>'Geometry Calculator'!Z$10/2*SIN(RADIANS('Background calcs'!$G275))+Z$66</f>
        <v>-100293.01199949301</v>
      </c>
      <c r="AB275" s="159"/>
      <c r="AC275" s="1"/>
      <c r="AD275" s="1"/>
    </row>
    <row r="276" spans="6:30" x14ac:dyDescent="0.25">
      <c r="F276" t="s">
        <v>275</v>
      </c>
      <c r="G276">
        <v>235</v>
      </c>
      <c r="H276" s="1">
        <f>'Geometry Calculator'!H$10/2*SIN(RADIANS('Background calcs'!$G276))+H$66</f>
        <v>-303.08625638692689</v>
      </c>
      <c r="I276" s="1"/>
      <c r="J276" s="1">
        <f>'Geometry Calculator'!J$10/2*SIN(RADIANS('Background calcs'!$G276))+J$66</f>
        <v>-303.08625638692689</v>
      </c>
      <c r="K276" s="1"/>
      <c r="L276" s="1">
        <f>'Geometry Calculator'!L$10/2*SIN(RADIANS('Background calcs'!$G276))+L$66</f>
        <v>-100308.82032069695</v>
      </c>
      <c r="M276" s="1"/>
      <c r="N276" s="1">
        <f>'Geometry Calculator'!N$10/2*SIN(RADIANS('Background calcs'!$G276))+N$66</f>
        <v>-100308.82032069695</v>
      </c>
      <c r="O276" s="1"/>
      <c r="P276" s="1">
        <f>'Geometry Calculator'!P$10/2*SIN(RADIANS('Background calcs'!$G276))+P$66</f>
        <v>-100297.3521920769</v>
      </c>
      <c r="Q276" s="1"/>
      <c r="R276" s="1">
        <f>'Geometry Calculator'!R$10/2*SIN(RADIANS('Background calcs'!$G276))+R$66</f>
        <v>-100297.3521920769</v>
      </c>
      <c r="S276" s="1"/>
      <c r="T276" s="1">
        <f>'Geometry Calculator'!T$10/2*SIN(RADIANS('Background calcs'!$G276))+T$66</f>
        <v>-100304.7245604755</v>
      </c>
      <c r="U276" s="1"/>
      <c r="V276" s="1">
        <f>'Geometry Calculator'!V$10/2*SIN(RADIANS('Background calcs'!$G276))+V$66</f>
        <v>-100304.7245604755</v>
      </c>
      <c r="W276" s="1"/>
      <c r="X276" s="1">
        <f>'Geometry Calculator'!X$10/2*SIN(RADIANS('Background calcs'!$G276))+X$66</f>
        <v>-100313.32565694053</v>
      </c>
      <c r="Y276" s="1"/>
      <c r="Z276" s="1">
        <f>'Geometry Calculator'!Z$10/2*SIN(RADIANS('Background calcs'!$G276))+Z$66</f>
        <v>-100313.32565694053</v>
      </c>
      <c r="AB276" s="159"/>
      <c r="AC276" s="1"/>
      <c r="AD276" s="1"/>
    </row>
    <row r="277" spans="6:30" x14ac:dyDescent="0.25">
      <c r="F277" t="s">
        <v>167</v>
      </c>
      <c r="G277">
        <v>240</v>
      </c>
      <c r="H277" s="1">
        <f>'Geometry Calculator'!H$10/2*SIN(RADIANS('Background calcs'!$G277))+H$66</f>
        <v>-320.42939940024218</v>
      </c>
      <c r="I277" s="1"/>
      <c r="J277" s="1">
        <f>'Geometry Calculator'!J$10/2*SIN(RADIANS('Background calcs'!$G277))+J$66</f>
        <v>-320.42939940024218</v>
      </c>
      <c r="K277" s="1"/>
      <c r="L277" s="1">
        <f>'Geometry Calculator'!L$10/2*SIN(RADIANS('Background calcs'!$G277))+L$66</f>
        <v>-100326.49157722673</v>
      </c>
      <c r="M277" s="1"/>
      <c r="N277" s="1">
        <f>'Geometry Calculator'!N$10/2*SIN(RADIANS('Background calcs'!$G277))+N$66</f>
        <v>-100326.49157722673</v>
      </c>
      <c r="O277" s="1"/>
      <c r="P277" s="1">
        <f>'Geometry Calculator'!P$10/2*SIN(RADIANS('Background calcs'!$G277))+P$66</f>
        <v>-100314.36722157375</v>
      </c>
      <c r="Q277" s="1"/>
      <c r="R277" s="1">
        <f>'Geometry Calculator'!R$10/2*SIN(RADIANS('Background calcs'!$G277))+R$66</f>
        <v>-100314.36722157375</v>
      </c>
      <c r="S277" s="1"/>
      <c r="T277" s="1">
        <f>'Geometry Calculator'!T$10/2*SIN(RADIANS('Background calcs'!$G277))+T$66</f>
        <v>-100322.16145020782</v>
      </c>
      <c r="U277" s="1"/>
      <c r="V277" s="1">
        <f>'Geometry Calculator'!V$10/2*SIN(RADIANS('Background calcs'!$G277))+V$66</f>
        <v>-100322.16145020782</v>
      </c>
      <c r="W277" s="1"/>
      <c r="X277" s="1">
        <f>'Geometry Calculator'!X$10/2*SIN(RADIANS('Background calcs'!$G277))+X$66</f>
        <v>-100331.25471694754</v>
      </c>
      <c r="Y277" s="1"/>
      <c r="Z277" s="1">
        <f>'Geometry Calculator'!Z$10/2*SIN(RADIANS('Background calcs'!$G277))+Z$66</f>
        <v>-100331.25471694754</v>
      </c>
      <c r="AB277" s="159"/>
      <c r="AC277" s="1"/>
      <c r="AD277" s="1"/>
    </row>
    <row r="278" spans="6:30" x14ac:dyDescent="0.25">
      <c r="F278" t="s">
        <v>276</v>
      </c>
      <c r="G278">
        <v>245</v>
      </c>
      <c r="H278" s="1">
        <f>'Geometry Calculator'!H$10/2*SIN(RADIANS('Background calcs'!$G278))+H$66</f>
        <v>-335.33388120356051</v>
      </c>
      <c r="I278" s="1"/>
      <c r="J278" s="1">
        <f>'Geometry Calculator'!J$10/2*SIN(RADIANS('Background calcs'!$G278))+J$66</f>
        <v>-335.33388120356051</v>
      </c>
      <c r="K278" s="1"/>
      <c r="L278" s="1">
        <f>'Geometry Calculator'!L$10/2*SIN(RADIANS('Background calcs'!$G278))+L$66</f>
        <v>-100341.67803571282</v>
      </c>
      <c r="M278" s="1"/>
      <c r="N278" s="1">
        <f>'Geometry Calculator'!N$10/2*SIN(RADIANS('Background calcs'!$G278))+N$66</f>
        <v>-100341.67803571282</v>
      </c>
      <c r="O278" s="1"/>
      <c r="P278" s="1">
        <f>'Geometry Calculator'!P$10/2*SIN(RADIANS('Background calcs'!$G278))+P$66</f>
        <v>-100328.9897266943</v>
      </c>
      <c r="Q278" s="1"/>
      <c r="R278" s="1">
        <f>'Geometry Calculator'!R$10/2*SIN(RADIANS('Background calcs'!$G278))+R$66</f>
        <v>-100328.9897266943</v>
      </c>
      <c r="S278" s="1"/>
      <c r="T278" s="1">
        <f>'Geometry Calculator'!T$10/2*SIN(RADIANS('Background calcs'!$G278))+T$66</f>
        <v>-100337.14649677764</v>
      </c>
      <c r="U278" s="1"/>
      <c r="V278" s="1">
        <f>'Geometry Calculator'!V$10/2*SIN(RADIANS('Background calcs'!$G278))+V$66</f>
        <v>-100337.14649677764</v>
      </c>
      <c r="W278" s="1"/>
      <c r="X278" s="1">
        <f>'Geometry Calculator'!X$10/2*SIN(RADIANS('Background calcs'!$G278))+X$66</f>
        <v>-100346.66272854152</v>
      </c>
      <c r="Y278" s="1"/>
      <c r="Z278" s="1">
        <f>'Geometry Calculator'!Z$10/2*SIN(RADIANS('Background calcs'!$G278))+Z$66</f>
        <v>-100346.66272854152</v>
      </c>
      <c r="AB278" s="159"/>
      <c r="AC278" s="1"/>
      <c r="AD278" s="1"/>
    </row>
    <row r="279" spans="6:30" x14ac:dyDescent="0.25">
      <c r="F279" t="s">
        <v>277</v>
      </c>
      <c r="G279">
        <v>250</v>
      </c>
      <c r="H279" s="1">
        <f>'Geometry Calculator'!H$10/2*SIN(RADIANS('Background calcs'!$G279))+H$66</f>
        <v>-347.68626969078611</v>
      </c>
      <c r="I279" s="1"/>
      <c r="J279" s="1">
        <f>'Geometry Calculator'!J$10/2*SIN(RADIANS('Background calcs'!$G279))+J$66</f>
        <v>-347.68626969078611</v>
      </c>
      <c r="K279" s="1"/>
      <c r="L279" s="1">
        <f>'Geometry Calculator'!L$10/2*SIN(RADIANS('Background calcs'!$G279))+L$66</f>
        <v>-100354.26411803628</v>
      </c>
      <c r="M279" s="1"/>
      <c r="N279" s="1">
        <f>'Geometry Calculator'!N$10/2*SIN(RADIANS('Background calcs'!$G279))+N$66</f>
        <v>-100354.26411803628</v>
      </c>
      <c r="O279" s="1"/>
      <c r="P279" s="1">
        <f>'Geometry Calculator'!P$10/2*SIN(RADIANS('Background calcs'!$G279))+P$66</f>
        <v>-100341.10842134529</v>
      </c>
      <c r="Q279" s="1"/>
      <c r="R279" s="1">
        <f>'Geometry Calculator'!R$10/2*SIN(RADIANS('Background calcs'!$G279))+R$66</f>
        <v>-100341.10842134529</v>
      </c>
      <c r="S279" s="1"/>
      <c r="T279" s="1">
        <f>'Geometry Calculator'!T$10/2*SIN(RADIANS('Background calcs'!$G279))+T$66</f>
        <v>-100349.56565493236</v>
      </c>
      <c r="U279" s="1"/>
      <c r="V279" s="1">
        <f>'Geometry Calculator'!V$10/2*SIN(RADIANS('Background calcs'!$G279))+V$66</f>
        <v>-100349.56565493236</v>
      </c>
      <c r="W279" s="1"/>
      <c r="X279" s="1">
        <f>'Geometry Calculator'!X$10/2*SIN(RADIANS('Background calcs'!$G279))+X$66</f>
        <v>-100359.43242745061</v>
      </c>
      <c r="Y279" s="1"/>
      <c r="Z279" s="1">
        <f>'Geometry Calculator'!Z$10/2*SIN(RADIANS('Background calcs'!$G279))+Z$66</f>
        <v>-100359.43242745061</v>
      </c>
      <c r="AB279" s="159"/>
      <c r="AC279" s="1"/>
      <c r="AD279" s="1"/>
    </row>
    <row r="280" spans="6:30" x14ac:dyDescent="0.25">
      <c r="F280" t="s">
        <v>168</v>
      </c>
      <c r="G280">
        <v>255</v>
      </c>
      <c r="H280" s="1">
        <f>'Geometry Calculator'!H$10/2*SIN(RADIANS('Background calcs'!$G280))+H$66</f>
        <v>-357.39255572695527</v>
      </c>
      <c r="I280" s="1"/>
      <c r="J280" s="1">
        <f>'Geometry Calculator'!J$10/2*SIN(RADIANS('Background calcs'!$G280))+J$66</f>
        <v>-357.39255572695527</v>
      </c>
      <c r="K280" s="1"/>
      <c r="L280" s="1">
        <f>'Geometry Calculator'!L$10/2*SIN(RADIANS('Background calcs'!$G280))+L$66</f>
        <v>-100364.15403651098</v>
      </c>
      <c r="M280" s="1"/>
      <c r="N280" s="1">
        <f>'Geometry Calculator'!N$10/2*SIN(RADIANS('Background calcs'!$G280))+N$66</f>
        <v>-100364.15403651098</v>
      </c>
      <c r="O280" s="1"/>
      <c r="P280" s="1">
        <f>'Geometry Calculator'!P$10/2*SIN(RADIANS('Background calcs'!$G280))+P$66</f>
        <v>-100350.63107494292</v>
      </c>
      <c r="Q280" s="1"/>
      <c r="R280" s="1">
        <f>'Geometry Calculator'!R$10/2*SIN(RADIANS('Background calcs'!$G280))+R$66</f>
        <v>-100350.63107494292</v>
      </c>
      <c r="S280" s="1"/>
      <c r="T280" s="1">
        <f>'Geometry Calculator'!T$10/2*SIN(RADIANS('Background calcs'!$G280))+T$66</f>
        <v>-100359.32440737954</v>
      </c>
      <c r="U280" s="1"/>
      <c r="V280" s="1">
        <f>'Geometry Calculator'!V$10/2*SIN(RADIANS('Background calcs'!$G280))+V$66</f>
        <v>-100359.32440737954</v>
      </c>
      <c r="W280" s="1"/>
      <c r="X280" s="1">
        <f>'Geometry Calculator'!X$10/2*SIN(RADIANS('Background calcs'!$G280))+X$66</f>
        <v>-100369.46662855557</v>
      </c>
      <c r="Y280" s="1"/>
      <c r="Z280" s="1">
        <f>'Geometry Calculator'!Z$10/2*SIN(RADIANS('Background calcs'!$G280))+Z$66</f>
        <v>-100369.46662855557</v>
      </c>
      <c r="AB280" s="159"/>
      <c r="AC280" s="1"/>
      <c r="AD280" s="1"/>
    </row>
    <row r="281" spans="6:30" x14ac:dyDescent="0.25">
      <c r="F281" t="s">
        <v>278</v>
      </c>
      <c r="G281">
        <v>260</v>
      </c>
      <c r="H281" s="1">
        <f>'Geometry Calculator'!H$10/2*SIN(RADIANS('Background calcs'!$G281))+H$66</f>
        <v>-364.37886861451699</v>
      </c>
      <c r="I281" s="1"/>
      <c r="J281" s="1">
        <f>'Geometry Calculator'!J$10/2*SIN(RADIANS('Background calcs'!$G281))+J$66</f>
        <v>-364.37886861451699</v>
      </c>
      <c r="K281" s="1"/>
      <c r="L281" s="1">
        <f>'Geometry Calculator'!L$10/2*SIN(RADIANS('Background calcs'!$G281))+L$66</f>
        <v>-100371.2725228856</v>
      </c>
      <c r="M281" s="1"/>
      <c r="N281" s="1">
        <f>'Geometry Calculator'!N$10/2*SIN(RADIANS('Background calcs'!$G281))+N$66</f>
        <v>-100371.2725228856</v>
      </c>
      <c r="O281" s="1"/>
      <c r="P281" s="1">
        <f>'Geometry Calculator'!P$10/2*SIN(RADIANS('Background calcs'!$G281))+P$66</f>
        <v>-100357.48521434343</v>
      </c>
      <c r="Q281" s="1"/>
      <c r="R281" s="1">
        <f>'Geometry Calculator'!R$10/2*SIN(RADIANS('Background calcs'!$G281))+R$66</f>
        <v>-100357.48521434343</v>
      </c>
      <c r="S281" s="1"/>
      <c r="T281" s="1">
        <f>'Geometry Calculator'!T$10/2*SIN(RADIANS('Background calcs'!$G281))+T$66</f>
        <v>-100366.34848412054</v>
      </c>
      <c r="U281" s="1"/>
      <c r="V281" s="1">
        <f>'Geometry Calculator'!V$10/2*SIN(RADIANS('Background calcs'!$G281))+V$66</f>
        <v>-100366.34848412054</v>
      </c>
      <c r="W281" s="1"/>
      <c r="X281" s="1">
        <f>'Geometry Calculator'!X$10/2*SIN(RADIANS('Background calcs'!$G281))+X$66</f>
        <v>-100376.68896552717</v>
      </c>
      <c r="Y281" s="1"/>
      <c r="Z281" s="1">
        <f>'Geometry Calculator'!Z$10/2*SIN(RADIANS('Background calcs'!$G281))+Z$66</f>
        <v>-100376.68896552717</v>
      </c>
      <c r="AB281" s="159"/>
      <c r="AC281" s="1"/>
      <c r="AD281" s="1"/>
    </row>
    <row r="282" spans="6:30" x14ac:dyDescent="0.25">
      <c r="F282" t="s">
        <v>279</v>
      </c>
      <c r="G282">
        <v>265</v>
      </c>
      <c r="H282" s="1">
        <f>'Geometry Calculator'!H$10/2*SIN(RADIANS('Background calcs'!$G282))+H$66</f>
        <v>-368.59203829394585</v>
      </c>
      <c r="I282" s="1"/>
      <c r="J282" s="1">
        <f>'Geometry Calculator'!J$10/2*SIN(RADIANS('Background calcs'!$G282))+J$66</f>
        <v>-368.59203829394585</v>
      </c>
      <c r="K282" s="1"/>
      <c r="L282" s="1">
        <f>'Geometry Calculator'!L$10/2*SIN(RADIANS('Background calcs'!$G282))+L$66</f>
        <v>-100375.56540118059</v>
      </c>
      <c r="M282" s="1"/>
      <c r="N282" s="1">
        <f>'Geometry Calculator'!N$10/2*SIN(RADIANS('Background calcs'!$G282))+N$66</f>
        <v>-100375.56540118059</v>
      </c>
      <c r="O282" s="1"/>
      <c r="P282" s="1">
        <f>'Geometry Calculator'!P$10/2*SIN(RADIANS('Background calcs'!$G282))+P$66</f>
        <v>-100361.6186754073</v>
      </c>
      <c r="Q282" s="1"/>
      <c r="R282" s="1">
        <f>'Geometry Calculator'!R$10/2*SIN(RADIANS('Background calcs'!$G282))+R$66</f>
        <v>-100361.6186754073</v>
      </c>
      <c r="S282" s="1"/>
      <c r="T282" s="1">
        <f>'Geometry Calculator'!T$10/2*SIN(RADIANS('Background calcs'!$G282))+T$66</f>
        <v>-100370.58442769013</v>
      </c>
      <c r="U282" s="1"/>
      <c r="V282" s="1">
        <f>'Geometry Calculator'!V$10/2*SIN(RADIANS('Background calcs'!$G282))+V$66</f>
        <v>-100370.58442769013</v>
      </c>
      <c r="W282" s="1"/>
      <c r="X282" s="1">
        <f>'Geometry Calculator'!X$10/2*SIN(RADIANS('Background calcs'!$G282))+X$66</f>
        <v>-100381.04447202009</v>
      </c>
      <c r="Y282" s="1"/>
      <c r="Z282" s="1">
        <f>'Geometry Calculator'!Z$10/2*SIN(RADIANS('Background calcs'!$G282))+Z$66</f>
        <v>-100381.04447202009</v>
      </c>
      <c r="AB282" s="159"/>
      <c r="AC282" s="1"/>
      <c r="AD282" s="1"/>
    </row>
    <row r="283" spans="6:30" x14ac:dyDescent="0.25">
      <c r="F283" t="s">
        <v>169</v>
      </c>
      <c r="G283">
        <v>270</v>
      </c>
      <c r="H283" s="1">
        <f>'Geometry Calculator'!H$10/2*SIN(RADIANS('Background calcs'!$G283))+H$66</f>
        <v>-370</v>
      </c>
      <c r="I283" s="1"/>
      <c r="J283" s="1">
        <f>'Geometry Calculator'!J$10/2*SIN(RADIANS('Background calcs'!$G283))+J$66</f>
        <v>-370</v>
      </c>
      <c r="K283" s="1"/>
      <c r="L283" s="1">
        <f>'Geometry Calculator'!L$10/2*SIN(RADIANS('Background calcs'!$G283))+L$66</f>
        <v>-100377</v>
      </c>
      <c r="M283" s="1"/>
      <c r="N283" s="1">
        <f>'Geometry Calculator'!N$10/2*SIN(RADIANS('Background calcs'!$G283))+N$66</f>
        <v>-100377</v>
      </c>
      <c r="O283" s="1"/>
      <c r="P283" s="1">
        <f>'Geometry Calculator'!P$10/2*SIN(RADIANS('Background calcs'!$G283))+P$66</f>
        <v>-100363</v>
      </c>
      <c r="Q283" s="1"/>
      <c r="R283" s="1">
        <f>'Geometry Calculator'!R$10/2*SIN(RADIANS('Background calcs'!$G283))+R$66</f>
        <v>-100363</v>
      </c>
      <c r="S283" s="1"/>
      <c r="T283" s="1">
        <f>'Geometry Calculator'!T$10/2*SIN(RADIANS('Background calcs'!$G283))+T$66</f>
        <v>-100372</v>
      </c>
      <c r="U283" s="1"/>
      <c r="V283" s="1">
        <f>'Geometry Calculator'!V$10/2*SIN(RADIANS('Background calcs'!$G283))+V$66</f>
        <v>-100372</v>
      </c>
      <c r="W283" s="1"/>
      <c r="X283" s="1">
        <f>'Geometry Calculator'!X$10/2*SIN(RADIANS('Background calcs'!$G283))+X$66</f>
        <v>-100382.5</v>
      </c>
      <c r="Y283" s="1"/>
      <c r="Z283" s="1">
        <f>'Geometry Calculator'!Z$10/2*SIN(RADIANS('Background calcs'!$G283))+Z$66</f>
        <v>-100382.5</v>
      </c>
      <c r="AB283" s="159"/>
      <c r="AC283" s="1"/>
      <c r="AD283" s="1"/>
    </row>
    <row r="284" spans="6:30" x14ac:dyDescent="0.25">
      <c r="F284" t="s">
        <v>280</v>
      </c>
      <c r="G284">
        <v>275</v>
      </c>
      <c r="H284" s="1">
        <f>'Geometry Calculator'!H$10/2*SIN(RADIANS('Background calcs'!$G284))+H$66</f>
        <v>-368.59203829394585</v>
      </c>
      <c r="I284" s="1"/>
      <c r="J284" s="1">
        <f>'Geometry Calculator'!J$10/2*SIN(RADIANS('Background calcs'!$G284))+J$66</f>
        <v>-368.59203829394585</v>
      </c>
      <c r="K284" s="1"/>
      <c r="L284" s="1">
        <f>'Geometry Calculator'!L$10/2*SIN(RADIANS('Background calcs'!$G284))+L$66</f>
        <v>-100375.56540118059</v>
      </c>
      <c r="M284" s="1"/>
      <c r="N284" s="1">
        <f>'Geometry Calculator'!N$10/2*SIN(RADIANS('Background calcs'!$G284))+N$66</f>
        <v>-100375.56540118059</v>
      </c>
      <c r="O284" s="1"/>
      <c r="P284" s="1">
        <f>'Geometry Calculator'!P$10/2*SIN(RADIANS('Background calcs'!$G284))+P$66</f>
        <v>-100361.6186754073</v>
      </c>
      <c r="Q284" s="1"/>
      <c r="R284" s="1">
        <f>'Geometry Calculator'!R$10/2*SIN(RADIANS('Background calcs'!$G284))+R$66</f>
        <v>-100361.6186754073</v>
      </c>
      <c r="S284" s="1"/>
      <c r="T284" s="1">
        <f>'Geometry Calculator'!T$10/2*SIN(RADIANS('Background calcs'!$G284))+T$66</f>
        <v>-100370.58442769013</v>
      </c>
      <c r="U284" s="1"/>
      <c r="V284" s="1">
        <f>'Geometry Calculator'!V$10/2*SIN(RADIANS('Background calcs'!$G284))+V$66</f>
        <v>-100370.58442769013</v>
      </c>
      <c r="W284" s="1"/>
      <c r="X284" s="1">
        <f>'Geometry Calculator'!X$10/2*SIN(RADIANS('Background calcs'!$G284))+X$66</f>
        <v>-100381.04447202009</v>
      </c>
      <c r="Y284" s="1"/>
      <c r="Z284" s="1">
        <f>'Geometry Calculator'!Z$10/2*SIN(RADIANS('Background calcs'!$G284))+Z$66</f>
        <v>-100381.04447202009</v>
      </c>
      <c r="AB284" s="159"/>
      <c r="AC284" s="1"/>
      <c r="AD284" s="1"/>
    </row>
    <row r="285" spans="6:30" x14ac:dyDescent="0.25">
      <c r="F285" t="s">
        <v>281</v>
      </c>
      <c r="G285">
        <v>280</v>
      </c>
      <c r="H285" s="1">
        <f>'Geometry Calculator'!H$10/2*SIN(RADIANS('Background calcs'!$G285))+H$66</f>
        <v>-364.37886861451699</v>
      </c>
      <c r="I285" s="1"/>
      <c r="J285" s="1">
        <f>'Geometry Calculator'!J$10/2*SIN(RADIANS('Background calcs'!$G285))+J$66</f>
        <v>-364.37886861451699</v>
      </c>
      <c r="K285" s="1"/>
      <c r="L285" s="1">
        <f>'Geometry Calculator'!L$10/2*SIN(RADIANS('Background calcs'!$G285))+L$66</f>
        <v>-100371.2725228856</v>
      </c>
      <c r="M285" s="1"/>
      <c r="N285" s="1">
        <f>'Geometry Calculator'!N$10/2*SIN(RADIANS('Background calcs'!$G285))+N$66</f>
        <v>-100371.2725228856</v>
      </c>
      <c r="O285" s="1"/>
      <c r="P285" s="1">
        <f>'Geometry Calculator'!P$10/2*SIN(RADIANS('Background calcs'!$G285))+P$66</f>
        <v>-100357.48521434343</v>
      </c>
      <c r="Q285" s="1"/>
      <c r="R285" s="1">
        <f>'Geometry Calculator'!R$10/2*SIN(RADIANS('Background calcs'!$G285))+R$66</f>
        <v>-100357.48521434343</v>
      </c>
      <c r="S285" s="1"/>
      <c r="T285" s="1">
        <f>'Geometry Calculator'!T$10/2*SIN(RADIANS('Background calcs'!$G285))+T$66</f>
        <v>-100366.34848412054</v>
      </c>
      <c r="U285" s="1"/>
      <c r="V285" s="1">
        <f>'Geometry Calculator'!V$10/2*SIN(RADIANS('Background calcs'!$G285))+V$66</f>
        <v>-100366.34848412054</v>
      </c>
      <c r="W285" s="1"/>
      <c r="X285" s="1">
        <f>'Geometry Calculator'!X$10/2*SIN(RADIANS('Background calcs'!$G285))+X$66</f>
        <v>-100376.68896552717</v>
      </c>
      <c r="Y285" s="1"/>
      <c r="Z285" s="1">
        <f>'Geometry Calculator'!Z$10/2*SIN(RADIANS('Background calcs'!$G285))+Z$66</f>
        <v>-100376.68896552717</v>
      </c>
      <c r="AB285" s="159"/>
      <c r="AC285" s="1"/>
      <c r="AD285" s="1"/>
    </row>
    <row r="286" spans="6:30" x14ac:dyDescent="0.25">
      <c r="F286" t="s">
        <v>170</v>
      </c>
      <c r="G286">
        <v>285</v>
      </c>
      <c r="H286" s="1">
        <f>'Geometry Calculator'!H$10/2*SIN(RADIANS('Background calcs'!$G286))+H$66</f>
        <v>-357.39255572695532</v>
      </c>
      <c r="I286" s="1"/>
      <c r="J286" s="1">
        <f>'Geometry Calculator'!J$10/2*SIN(RADIANS('Background calcs'!$G286))+J$66</f>
        <v>-357.39255572695532</v>
      </c>
      <c r="K286" s="1"/>
      <c r="L286" s="1">
        <f>'Geometry Calculator'!L$10/2*SIN(RADIANS('Background calcs'!$G286))+L$66</f>
        <v>-100364.15403651098</v>
      </c>
      <c r="M286" s="1"/>
      <c r="N286" s="1">
        <f>'Geometry Calculator'!N$10/2*SIN(RADIANS('Background calcs'!$G286))+N$66</f>
        <v>-100364.15403651098</v>
      </c>
      <c r="O286" s="1"/>
      <c r="P286" s="1">
        <f>'Geometry Calculator'!P$10/2*SIN(RADIANS('Background calcs'!$G286))+P$66</f>
        <v>-100350.63107494292</v>
      </c>
      <c r="Q286" s="1"/>
      <c r="R286" s="1">
        <f>'Geometry Calculator'!R$10/2*SIN(RADIANS('Background calcs'!$G286))+R$66</f>
        <v>-100350.63107494292</v>
      </c>
      <c r="S286" s="1"/>
      <c r="T286" s="1">
        <f>'Geometry Calculator'!T$10/2*SIN(RADIANS('Background calcs'!$G286))+T$66</f>
        <v>-100359.32440737954</v>
      </c>
      <c r="U286" s="1"/>
      <c r="V286" s="1">
        <f>'Geometry Calculator'!V$10/2*SIN(RADIANS('Background calcs'!$G286))+V$66</f>
        <v>-100359.32440737954</v>
      </c>
      <c r="W286" s="1"/>
      <c r="X286" s="1">
        <f>'Geometry Calculator'!X$10/2*SIN(RADIANS('Background calcs'!$G286))+X$66</f>
        <v>-100369.46662855557</v>
      </c>
      <c r="Y286" s="1"/>
      <c r="Z286" s="1">
        <f>'Geometry Calculator'!Z$10/2*SIN(RADIANS('Background calcs'!$G286))+Z$66</f>
        <v>-100369.46662855557</v>
      </c>
      <c r="AB286" s="159"/>
      <c r="AC286" s="1"/>
      <c r="AD286" s="1"/>
    </row>
    <row r="287" spans="6:30" x14ac:dyDescent="0.25">
      <c r="F287" t="s">
        <v>282</v>
      </c>
      <c r="G287">
        <v>290</v>
      </c>
      <c r="H287" s="1">
        <f>'Geometry Calculator'!H$10/2*SIN(RADIANS('Background calcs'!$G287))+H$66</f>
        <v>-347.68626969078611</v>
      </c>
      <c r="I287" s="1"/>
      <c r="J287" s="1">
        <f>'Geometry Calculator'!J$10/2*SIN(RADIANS('Background calcs'!$G287))+J$66</f>
        <v>-347.68626969078611</v>
      </c>
      <c r="K287" s="1"/>
      <c r="L287" s="1">
        <f>'Geometry Calculator'!L$10/2*SIN(RADIANS('Background calcs'!$G287))+L$66</f>
        <v>-100354.26411803628</v>
      </c>
      <c r="M287" s="1"/>
      <c r="N287" s="1">
        <f>'Geometry Calculator'!N$10/2*SIN(RADIANS('Background calcs'!$G287))+N$66</f>
        <v>-100354.26411803628</v>
      </c>
      <c r="O287" s="1"/>
      <c r="P287" s="1">
        <f>'Geometry Calculator'!P$10/2*SIN(RADIANS('Background calcs'!$G287))+P$66</f>
        <v>-100341.10842134529</v>
      </c>
      <c r="Q287" s="1"/>
      <c r="R287" s="1">
        <f>'Geometry Calculator'!R$10/2*SIN(RADIANS('Background calcs'!$G287))+R$66</f>
        <v>-100341.10842134529</v>
      </c>
      <c r="S287" s="1"/>
      <c r="T287" s="1">
        <f>'Geometry Calculator'!T$10/2*SIN(RADIANS('Background calcs'!$G287))+T$66</f>
        <v>-100349.56565493236</v>
      </c>
      <c r="U287" s="1"/>
      <c r="V287" s="1">
        <f>'Geometry Calculator'!V$10/2*SIN(RADIANS('Background calcs'!$G287))+V$66</f>
        <v>-100349.56565493236</v>
      </c>
      <c r="W287" s="1"/>
      <c r="X287" s="1">
        <f>'Geometry Calculator'!X$10/2*SIN(RADIANS('Background calcs'!$G287))+X$66</f>
        <v>-100359.43242745061</v>
      </c>
      <c r="Y287" s="1"/>
      <c r="Z287" s="1">
        <f>'Geometry Calculator'!Z$10/2*SIN(RADIANS('Background calcs'!$G287))+Z$66</f>
        <v>-100359.43242745061</v>
      </c>
      <c r="AB287" s="159"/>
      <c r="AC287" s="1"/>
      <c r="AD287" s="1"/>
    </row>
    <row r="288" spans="6:30" x14ac:dyDescent="0.25">
      <c r="F288" t="s">
        <v>283</v>
      </c>
      <c r="G288">
        <v>295</v>
      </c>
      <c r="H288" s="1">
        <f>'Geometry Calculator'!H$10/2*SIN(RADIANS('Background calcs'!$G288))+H$66</f>
        <v>-335.33388120356045</v>
      </c>
      <c r="I288" s="1"/>
      <c r="J288" s="1">
        <f>'Geometry Calculator'!J$10/2*SIN(RADIANS('Background calcs'!$G288))+J$66</f>
        <v>-335.33388120356045</v>
      </c>
      <c r="K288" s="1"/>
      <c r="L288" s="1">
        <f>'Geometry Calculator'!L$10/2*SIN(RADIANS('Background calcs'!$G288))+L$66</f>
        <v>-100341.67803571282</v>
      </c>
      <c r="M288" s="1"/>
      <c r="N288" s="1">
        <f>'Geometry Calculator'!N$10/2*SIN(RADIANS('Background calcs'!$G288))+N$66</f>
        <v>-100341.67803571282</v>
      </c>
      <c r="O288" s="1"/>
      <c r="P288" s="1">
        <f>'Geometry Calculator'!P$10/2*SIN(RADIANS('Background calcs'!$G288))+P$66</f>
        <v>-100328.9897266943</v>
      </c>
      <c r="Q288" s="1"/>
      <c r="R288" s="1">
        <f>'Geometry Calculator'!R$10/2*SIN(RADIANS('Background calcs'!$G288))+R$66</f>
        <v>-100328.9897266943</v>
      </c>
      <c r="S288" s="1"/>
      <c r="T288" s="1">
        <f>'Geometry Calculator'!T$10/2*SIN(RADIANS('Background calcs'!$G288))+T$66</f>
        <v>-100337.14649677764</v>
      </c>
      <c r="U288" s="1"/>
      <c r="V288" s="1">
        <f>'Geometry Calculator'!V$10/2*SIN(RADIANS('Background calcs'!$G288))+V$66</f>
        <v>-100337.14649677764</v>
      </c>
      <c r="W288" s="1"/>
      <c r="X288" s="1">
        <f>'Geometry Calculator'!X$10/2*SIN(RADIANS('Background calcs'!$G288))+X$66</f>
        <v>-100346.66272854152</v>
      </c>
      <c r="Y288" s="1"/>
      <c r="Z288" s="1">
        <f>'Geometry Calculator'!Z$10/2*SIN(RADIANS('Background calcs'!$G288))+Z$66</f>
        <v>-100346.66272854152</v>
      </c>
      <c r="AB288" s="159"/>
      <c r="AC288" s="1"/>
      <c r="AD288" s="1"/>
    </row>
    <row r="289" spans="6:30" x14ac:dyDescent="0.25">
      <c r="F289" t="s">
        <v>171</v>
      </c>
      <c r="G289">
        <v>300</v>
      </c>
      <c r="H289" s="1">
        <f>'Geometry Calculator'!H$10/2*SIN(RADIANS('Background calcs'!$G289))+H$66</f>
        <v>-320.42939940024229</v>
      </c>
      <c r="I289" s="1"/>
      <c r="J289" s="1">
        <f>'Geometry Calculator'!J$10/2*SIN(RADIANS('Background calcs'!$G289))+J$66</f>
        <v>-320.42939940024229</v>
      </c>
      <c r="K289" s="1"/>
      <c r="L289" s="1">
        <f>'Geometry Calculator'!L$10/2*SIN(RADIANS('Background calcs'!$G289))+L$66</f>
        <v>-100326.49157722673</v>
      </c>
      <c r="M289" s="1"/>
      <c r="N289" s="1">
        <f>'Geometry Calculator'!N$10/2*SIN(RADIANS('Background calcs'!$G289))+N$66</f>
        <v>-100326.49157722673</v>
      </c>
      <c r="O289" s="1"/>
      <c r="P289" s="1">
        <f>'Geometry Calculator'!P$10/2*SIN(RADIANS('Background calcs'!$G289))+P$66</f>
        <v>-100314.36722157375</v>
      </c>
      <c r="Q289" s="1"/>
      <c r="R289" s="1">
        <f>'Geometry Calculator'!R$10/2*SIN(RADIANS('Background calcs'!$G289))+R$66</f>
        <v>-100314.36722157375</v>
      </c>
      <c r="S289" s="1"/>
      <c r="T289" s="1">
        <f>'Geometry Calculator'!T$10/2*SIN(RADIANS('Background calcs'!$G289))+T$66</f>
        <v>-100322.16145020782</v>
      </c>
      <c r="U289" s="1"/>
      <c r="V289" s="1">
        <f>'Geometry Calculator'!V$10/2*SIN(RADIANS('Background calcs'!$G289))+V$66</f>
        <v>-100322.16145020782</v>
      </c>
      <c r="W289" s="1"/>
      <c r="X289" s="1">
        <f>'Geometry Calculator'!X$10/2*SIN(RADIANS('Background calcs'!$G289))+X$66</f>
        <v>-100331.25471694754</v>
      </c>
      <c r="Y289" s="1"/>
      <c r="Z289" s="1">
        <f>'Geometry Calculator'!Z$10/2*SIN(RADIANS('Background calcs'!$G289))+Z$66</f>
        <v>-100331.25471694754</v>
      </c>
      <c r="AB289" s="159"/>
      <c r="AC289" s="1"/>
      <c r="AD289" s="1"/>
    </row>
    <row r="290" spans="6:30" x14ac:dyDescent="0.25">
      <c r="F290" t="s">
        <v>284</v>
      </c>
      <c r="G290">
        <v>305</v>
      </c>
      <c r="H290" s="1">
        <f>'Geometry Calculator'!H$10/2*SIN(RADIANS('Background calcs'!$G290))+H$66</f>
        <v>-303.08625638692695</v>
      </c>
      <c r="I290" s="1"/>
      <c r="J290" s="1">
        <f>'Geometry Calculator'!J$10/2*SIN(RADIANS('Background calcs'!$G290))+J$66</f>
        <v>-303.08625638692695</v>
      </c>
      <c r="K290" s="1"/>
      <c r="L290" s="1">
        <f>'Geometry Calculator'!L$10/2*SIN(RADIANS('Background calcs'!$G290))+L$66</f>
        <v>-100308.82032069695</v>
      </c>
      <c r="M290" s="1"/>
      <c r="N290" s="1">
        <f>'Geometry Calculator'!N$10/2*SIN(RADIANS('Background calcs'!$G290))+N$66</f>
        <v>-100308.82032069695</v>
      </c>
      <c r="O290" s="1"/>
      <c r="P290" s="1">
        <f>'Geometry Calculator'!P$10/2*SIN(RADIANS('Background calcs'!$G290))+P$66</f>
        <v>-100297.3521920769</v>
      </c>
      <c r="Q290" s="1"/>
      <c r="R290" s="1">
        <f>'Geometry Calculator'!R$10/2*SIN(RADIANS('Background calcs'!$G290))+R$66</f>
        <v>-100297.3521920769</v>
      </c>
      <c r="S290" s="1"/>
      <c r="T290" s="1">
        <f>'Geometry Calculator'!T$10/2*SIN(RADIANS('Background calcs'!$G290))+T$66</f>
        <v>-100304.7245604755</v>
      </c>
      <c r="U290" s="1"/>
      <c r="V290" s="1">
        <f>'Geometry Calculator'!V$10/2*SIN(RADIANS('Background calcs'!$G290))+V$66</f>
        <v>-100304.7245604755</v>
      </c>
      <c r="W290" s="1"/>
      <c r="X290" s="1">
        <f>'Geometry Calculator'!X$10/2*SIN(RADIANS('Background calcs'!$G290))+X$66</f>
        <v>-100313.32565694053</v>
      </c>
      <c r="Y290" s="1"/>
      <c r="Z290" s="1">
        <f>'Geometry Calculator'!Z$10/2*SIN(RADIANS('Background calcs'!$G290))+Z$66</f>
        <v>-100313.32565694053</v>
      </c>
      <c r="AB290" s="159"/>
      <c r="AC290" s="1"/>
      <c r="AD290" s="1"/>
    </row>
    <row r="291" spans="6:30" x14ac:dyDescent="0.25">
      <c r="F291" t="s">
        <v>285</v>
      </c>
      <c r="G291">
        <v>310</v>
      </c>
      <c r="H291" s="1">
        <f>'Geometry Calculator'!H$10/2*SIN(RADIANS('Background calcs'!$G291))+H$66</f>
        <v>-283.43644395402191</v>
      </c>
      <c r="I291" s="1"/>
      <c r="J291" s="1">
        <f>'Geometry Calculator'!J$10/2*SIN(RADIANS('Background calcs'!$G291))+J$66</f>
        <v>-283.43644395402191</v>
      </c>
      <c r="K291" s="1"/>
      <c r="L291" s="1">
        <f>'Geometry Calculator'!L$10/2*SIN(RADIANS('Background calcs'!$G291))+L$66</f>
        <v>-100288.79875505586</v>
      </c>
      <c r="M291" s="1"/>
      <c r="N291" s="1">
        <f>'Geometry Calculator'!N$10/2*SIN(RADIANS('Background calcs'!$G291))+N$66</f>
        <v>-100288.79875505586</v>
      </c>
      <c r="O291" s="1"/>
      <c r="P291" s="1">
        <f>'Geometry Calculator'!P$10/2*SIN(RADIANS('Background calcs'!$G291))+P$66</f>
        <v>-100278.07413285218</v>
      </c>
      <c r="Q291" s="1"/>
      <c r="R291" s="1">
        <f>'Geometry Calculator'!R$10/2*SIN(RADIANS('Background calcs'!$G291))+R$66</f>
        <v>-100278.07413285218</v>
      </c>
      <c r="S291" s="1"/>
      <c r="T291" s="1">
        <f>'Geometry Calculator'!T$10/2*SIN(RADIANS('Background calcs'!$G291))+T$66</f>
        <v>-100284.96853284026</v>
      </c>
      <c r="U291" s="1"/>
      <c r="V291" s="1">
        <f>'Geometry Calculator'!V$10/2*SIN(RADIANS('Background calcs'!$G291))+V$66</f>
        <v>-100284.96853284026</v>
      </c>
      <c r="W291" s="1"/>
      <c r="X291" s="1">
        <f>'Geometry Calculator'!X$10/2*SIN(RADIANS('Background calcs'!$G291))+X$66</f>
        <v>-100293.01199949301</v>
      </c>
      <c r="Y291" s="1"/>
      <c r="Z291" s="1">
        <f>'Geometry Calculator'!Z$10/2*SIN(RADIANS('Background calcs'!$G291))+Z$66</f>
        <v>-100293.01199949301</v>
      </c>
      <c r="AB291" s="159"/>
      <c r="AC291" s="1"/>
      <c r="AD291" s="1"/>
    </row>
    <row r="292" spans="6:30" x14ac:dyDescent="0.25">
      <c r="F292" t="s">
        <v>172</v>
      </c>
      <c r="G292">
        <v>315</v>
      </c>
      <c r="H292" s="1">
        <f>'Geometry Calculator'!H$10/2*SIN(RADIANS('Background calcs'!$G292))+H$66</f>
        <v>-261.62950903902265</v>
      </c>
      <c r="I292" s="1"/>
      <c r="J292" s="1">
        <f>'Geometry Calculator'!J$10/2*SIN(RADIANS('Background calcs'!$G292))+J$66</f>
        <v>-261.62950903902265</v>
      </c>
      <c r="K292" s="1"/>
      <c r="L292" s="1">
        <f>'Geometry Calculator'!L$10/2*SIN(RADIANS('Background calcs'!$G292))+L$66</f>
        <v>-100266.57925650734</v>
      </c>
      <c r="M292" s="1"/>
      <c r="N292" s="1">
        <f>'Geometry Calculator'!N$10/2*SIN(RADIANS('Background calcs'!$G292))+N$66</f>
        <v>-100266.57925650734</v>
      </c>
      <c r="O292" s="1"/>
      <c r="P292" s="1">
        <f>'Geometry Calculator'!P$10/2*SIN(RADIANS('Background calcs'!$G292))+P$66</f>
        <v>-100256.67976157072</v>
      </c>
      <c r="Q292" s="1"/>
      <c r="R292" s="1">
        <f>'Geometry Calculator'!R$10/2*SIN(RADIANS('Background calcs'!$G292))+R$66</f>
        <v>-100256.67976157072</v>
      </c>
      <c r="S292" s="1"/>
      <c r="T292" s="1">
        <f>'Geometry Calculator'!T$10/2*SIN(RADIANS('Background calcs'!$G292))+T$66</f>
        <v>-100263.04372260139</v>
      </c>
      <c r="U292" s="1"/>
      <c r="V292" s="1">
        <f>'Geometry Calculator'!V$10/2*SIN(RADIANS('Background calcs'!$G292))+V$66</f>
        <v>-100263.04372260139</v>
      </c>
      <c r="W292" s="1"/>
      <c r="X292" s="1">
        <f>'Geometry Calculator'!X$10/2*SIN(RADIANS('Background calcs'!$G292))+X$66</f>
        <v>-100270.46834380385</v>
      </c>
      <c r="Y292" s="1"/>
      <c r="Z292" s="1">
        <f>'Geometry Calculator'!Z$10/2*SIN(RADIANS('Background calcs'!$G292))+Z$66</f>
        <v>-100270.46834380385</v>
      </c>
      <c r="AB292" s="159"/>
      <c r="AC292" s="1"/>
      <c r="AD292" s="1"/>
    </row>
    <row r="293" spans="6:30" x14ac:dyDescent="0.25">
      <c r="F293" t="s">
        <v>286</v>
      </c>
      <c r="G293">
        <v>320</v>
      </c>
      <c r="H293" s="1">
        <f>'Geometry Calculator'!H$10/2*SIN(RADIANS('Background calcs'!$G293))+H$66</f>
        <v>-237.83141558401965</v>
      </c>
      <c r="I293" s="1"/>
      <c r="J293" s="1">
        <f>'Geometry Calculator'!J$10/2*SIN(RADIANS('Background calcs'!$G293))+J$66</f>
        <v>-237.83141558401965</v>
      </c>
      <c r="K293" s="1"/>
      <c r="L293" s="1">
        <f>'Geometry Calculator'!L$10/2*SIN(RADIANS('Background calcs'!$G293))+L$66</f>
        <v>-100242.33092885182</v>
      </c>
      <c r="M293" s="1"/>
      <c r="N293" s="1">
        <f>'Geometry Calculator'!N$10/2*SIN(RADIANS('Background calcs'!$G293))+N$66</f>
        <v>-100242.33092885182</v>
      </c>
      <c r="O293" s="1"/>
      <c r="P293" s="1">
        <f>'Geometry Calculator'!P$10/2*SIN(RADIANS('Background calcs'!$G293))+P$66</f>
        <v>-100233.33190231622</v>
      </c>
      <c r="Q293" s="1"/>
      <c r="R293" s="1">
        <f>'Geometry Calculator'!R$10/2*SIN(RADIANS('Background calcs'!$G293))+R$66</f>
        <v>-100233.33190231622</v>
      </c>
      <c r="S293" s="1"/>
      <c r="T293" s="1">
        <f>'Geometry Calculator'!T$10/2*SIN(RADIANS('Background calcs'!$G293))+T$66</f>
        <v>-100239.11699080339</v>
      </c>
      <c r="U293" s="1"/>
      <c r="V293" s="1">
        <f>'Geometry Calculator'!V$10/2*SIN(RADIANS('Background calcs'!$G293))+V$66</f>
        <v>-100239.11699080339</v>
      </c>
      <c r="W293" s="1"/>
      <c r="X293" s="1">
        <f>'Geometry Calculator'!X$10/2*SIN(RADIANS('Background calcs'!$G293))+X$66</f>
        <v>-100245.86626070511</v>
      </c>
      <c r="Y293" s="1"/>
      <c r="Z293" s="1">
        <f>'Geometry Calculator'!Z$10/2*SIN(RADIANS('Background calcs'!$G293))+Z$66</f>
        <v>-100245.86626070511</v>
      </c>
      <c r="AB293" s="159"/>
      <c r="AC293" s="1"/>
      <c r="AD293" s="1"/>
    </row>
    <row r="294" spans="6:30" x14ac:dyDescent="0.25">
      <c r="F294" t="s">
        <v>287</v>
      </c>
      <c r="G294">
        <v>325</v>
      </c>
      <c r="H294" s="1">
        <f>'Geometry Calculator'!H$10/2*SIN(RADIANS('Background calcs'!$G294))+H$66</f>
        <v>-212.2232814498872</v>
      </c>
      <c r="I294" s="1"/>
      <c r="J294" s="1">
        <f>'Geometry Calculator'!J$10/2*SIN(RADIANS('Background calcs'!$G294))+J$66</f>
        <v>-212.2232814498872</v>
      </c>
      <c r="K294" s="1"/>
      <c r="L294" s="1">
        <f>'Geometry Calculator'!L$10/2*SIN(RADIANS('Background calcs'!$G294))+L$66</f>
        <v>-100216.23831650434</v>
      </c>
      <c r="M294" s="1"/>
      <c r="N294" s="1">
        <f>'Geometry Calculator'!N$10/2*SIN(RADIANS('Background calcs'!$G294))+N$66</f>
        <v>-100216.23831650434</v>
      </c>
      <c r="O294" s="1"/>
      <c r="P294" s="1">
        <f>'Geometry Calculator'!P$10/2*SIN(RADIANS('Background calcs'!$G294))+P$66</f>
        <v>-100208.20824639543</v>
      </c>
      <c r="Q294" s="1"/>
      <c r="R294" s="1">
        <f>'Geometry Calculator'!R$10/2*SIN(RADIANS('Background calcs'!$G294))+R$66</f>
        <v>-100208.20824639543</v>
      </c>
      <c r="S294" s="1"/>
      <c r="T294" s="1">
        <f>'Geometry Calculator'!T$10/2*SIN(RADIANS('Background calcs'!$G294))+T$66</f>
        <v>-100213.37043432258</v>
      </c>
      <c r="U294" s="1"/>
      <c r="V294" s="1">
        <f>'Geometry Calculator'!V$10/2*SIN(RADIANS('Background calcs'!$G294))+V$66</f>
        <v>-100213.37043432258</v>
      </c>
      <c r="W294" s="1"/>
      <c r="X294" s="1">
        <f>'Geometry Calculator'!X$10/2*SIN(RADIANS('Background calcs'!$G294))+X$66</f>
        <v>-100219.39298690428</v>
      </c>
      <c r="Y294" s="1"/>
      <c r="Z294" s="1">
        <f>'Geometry Calculator'!Z$10/2*SIN(RADIANS('Background calcs'!$G294))+Z$66</f>
        <v>-100219.39298690428</v>
      </c>
      <c r="AB294" s="159"/>
      <c r="AC294" s="1"/>
      <c r="AD294" s="1"/>
    </row>
    <row r="295" spans="6:30" x14ac:dyDescent="0.25">
      <c r="F295" t="s">
        <v>173</v>
      </c>
      <c r="G295">
        <v>330</v>
      </c>
      <c r="H295" s="1">
        <f>'Geometry Calculator'!H$10/2*SIN(RADIANS('Background calcs'!$G295))+H$66</f>
        <v>-185.00000000000017</v>
      </c>
      <c r="I295" s="1"/>
      <c r="J295" s="1">
        <f>'Geometry Calculator'!J$10/2*SIN(RADIANS('Background calcs'!$G295))+J$66</f>
        <v>-185.00000000000017</v>
      </c>
      <c r="K295" s="1"/>
      <c r="L295" s="1">
        <f>'Geometry Calculator'!L$10/2*SIN(RADIANS('Background calcs'!$G295))+L$66</f>
        <v>-100188.5</v>
      </c>
      <c r="M295" s="1"/>
      <c r="N295" s="1">
        <f>'Geometry Calculator'!N$10/2*SIN(RADIANS('Background calcs'!$G295))+N$66</f>
        <v>-100188.5</v>
      </c>
      <c r="O295" s="1"/>
      <c r="P295" s="1">
        <f>'Geometry Calculator'!P$10/2*SIN(RADIANS('Background calcs'!$G295))+P$66</f>
        <v>-100181.5</v>
      </c>
      <c r="Q295" s="1"/>
      <c r="R295" s="1">
        <f>'Geometry Calculator'!R$10/2*SIN(RADIANS('Background calcs'!$G295))+R$66</f>
        <v>-100181.5</v>
      </c>
      <c r="S295" s="1"/>
      <c r="T295" s="1">
        <f>'Geometry Calculator'!T$10/2*SIN(RADIANS('Background calcs'!$G295))+T$66</f>
        <v>-100186</v>
      </c>
      <c r="U295" s="1"/>
      <c r="V295" s="1">
        <f>'Geometry Calculator'!V$10/2*SIN(RADIANS('Background calcs'!$G295))+V$66</f>
        <v>-100186</v>
      </c>
      <c r="W295" s="1"/>
      <c r="X295" s="1">
        <f>'Geometry Calculator'!X$10/2*SIN(RADIANS('Background calcs'!$G295))+X$66</f>
        <v>-100191.25</v>
      </c>
      <c r="Y295" s="1"/>
      <c r="Z295" s="1">
        <f>'Geometry Calculator'!Z$10/2*SIN(RADIANS('Background calcs'!$G295))+Z$66</f>
        <v>-100191.25</v>
      </c>
      <c r="AB295" s="159"/>
      <c r="AC295" s="1"/>
      <c r="AD295" s="1"/>
    </row>
    <row r="296" spans="6:30" x14ac:dyDescent="0.25">
      <c r="F296" t="s">
        <v>288</v>
      </c>
      <c r="G296">
        <v>335</v>
      </c>
      <c r="H296" s="1">
        <f>'Geometry Calculator'!H$10/2*SIN(RADIANS('Background calcs'!$G296))+H$66</f>
        <v>-156.36875684405871</v>
      </c>
      <c r="I296" s="1"/>
      <c r="J296" s="1">
        <f>'Geometry Calculator'!J$10/2*SIN(RADIANS('Background calcs'!$G296))+J$66</f>
        <v>-156.36875684405871</v>
      </c>
      <c r="K296" s="1"/>
      <c r="L296" s="1">
        <f>'Geometry Calculator'!L$10/2*SIN(RADIANS('Background calcs'!$G296))+L$66</f>
        <v>-100159.32708467625</v>
      </c>
      <c r="M296" s="1"/>
      <c r="N296" s="1">
        <f>'Geometry Calculator'!N$10/2*SIN(RADIANS('Background calcs'!$G296))+N$66</f>
        <v>-100159.32708467625</v>
      </c>
      <c r="O296" s="1"/>
      <c r="P296" s="1">
        <f>'Geometry Calculator'!P$10/2*SIN(RADIANS('Background calcs'!$G296))+P$66</f>
        <v>-100153.41042901187</v>
      </c>
      <c r="Q296" s="1"/>
      <c r="R296" s="1">
        <f>'Geometry Calculator'!R$10/2*SIN(RADIANS('Background calcs'!$G296))+R$66</f>
        <v>-100153.41042901187</v>
      </c>
      <c r="S296" s="1"/>
      <c r="T296" s="1">
        <f>'Geometry Calculator'!T$10/2*SIN(RADIANS('Background calcs'!$G296))+T$66</f>
        <v>-100157.21399336754</v>
      </c>
      <c r="U296" s="1"/>
      <c r="V296" s="1">
        <f>'Geometry Calculator'!V$10/2*SIN(RADIANS('Background calcs'!$G296))+V$66</f>
        <v>-100157.21399336754</v>
      </c>
      <c r="W296" s="1"/>
      <c r="X296" s="1">
        <f>'Geometry Calculator'!X$10/2*SIN(RADIANS('Background calcs'!$G296))+X$66</f>
        <v>-100161.65148511581</v>
      </c>
      <c r="Y296" s="1"/>
      <c r="Z296" s="1">
        <f>'Geometry Calculator'!Z$10/2*SIN(RADIANS('Background calcs'!$G296))+Z$66</f>
        <v>-100161.65148511581</v>
      </c>
      <c r="AB296" s="159"/>
      <c r="AC296" s="1"/>
      <c r="AD296" s="1"/>
    </row>
    <row r="297" spans="6:30" x14ac:dyDescent="0.25">
      <c r="F297" t="s">
        <v>289</v>
      </c>
      <c r="G297">
        <v>340</v>
      </c>
      <c r="H297" s="1">
        <f>'Geometry Calculator'!H$10/2*SIN(RADIANS('Background calcs'!$G297))+H$66</f>
        <v>-126.54745303049738</v>
      </c>
      <c r="I297" s="1"/>
      <c r="J297" s="1">
        <f>'Geometry Calculator'!J$10/2*SIN(RADIANS('Background calcs'!$G297))+J$66</f>
        <v>-126.54745303049738</v>
      </c>
      <c r="K297" s="1"/>
      <c r="L297" s="1">
        <f>'Geometry Calculator'!L$10/2*SIN(RADIANS('Background calcs'!$G297))+L$66</f>
        <v>-100128.94159403378</v>
      </c>
      <c r="M297" s="1"/>
      <c r="N297" s="1">
        <f>'Geometry Calculator'!N$10/2*SIN(RADIANS('Background calcs'!$G297))+N$66</f>
        <v>-100128.94159403378</v>
      </c>
      <c r="O297" s="1"/>
      <c r="P297" s="1">
        <f>'Geometry Calculator'!P$10/2*SIN(RADIANS('Background calcs'!$G297))+P$66</f>
        <v>-100124.15331202722</v>
      </c>
      <c r="Q297" s="1"/>
      <c r="R297" s="1">
        <f>'Geometry Calculator'!R$10/2*SIN(RADIANS('Background calcs'!$G297))+R$66</f>
        <v>-100124.15331202722</v>
      </c>
      <c r="S297" s="1"/>
      <c r="T297" s="1">
        <f>'Geometry Calculator'!T$10/2*SIN(RADIANS('Background calcs'!$G297))+T$66</f>
        <v>-100127.23149331714</v>
      </c>
      <c r="U297" s="1"/>
      <c r="V297" s="1">
        <f>'Geometry Calculator'!V$10/2*SIN(RADIANS('Background calcs'!$G297))+V$66</f>
        <v>-100127.23149331714</v>
      </c>
      <c r="W297" s="1"/>
      <c r="X297" s="1">
        <f>'Geometry Calculator'!X$10/2*SIN(RADIANS('Background calcs'!$G297))+X$66</f>
        <v>-100130.82270482207</v>
      </c>
      <c r="Y297" s="1"/>
      <c r="Z297" s="1">
        <f>'Geometry Calculator'!Z$10/2*SIN(RADIANS('Background calcs'!$G297))+Z$66</f>
        <v>-100130.82270482207</v>
      </c>
      <c r="AB297" s="159"/>
      <c r="AC297" s="1"/>
      <c r="AD297" s="1"/>
    </row>
    <row r="298" spans="6:30" x14ac:dyDescent="0.25">
      <c r="F298" t="s">
        <v>174</v>
      </c>
      <c r="G298">
        <v>345</v>
      </c>
      <c r="H298" s="1">
        <f>'Geometry Calculator'!H$10/2*SIN(RADIANS('Background calcs'!$G298))+H$66</f>
        <v>-95.763046687932658</v>
      </c>
      <c r="I298" s="1"/>
      <c r="J298" s="1">
        <f>'Geometry Calculator'!J$10/2*SIN(RADIANS('Background calcs'!$G298))+J$66</f>
        <v>-95.763046687932658</v>
      </c>
      <c r="K298" s="1"/>
      <c r="L298" s="1">
        <f>'Geometry Calculator'!L$10/2*SIN(RADIANS('Background calcs'!$G298))+L$66</f>
        <v>-100097.57478000365</v>
      </c>
      <c r="M298" s="1"/>
      <c r="N298" s="1">
        <f>'Geometry Calculator'!N$10/2*SIN(RADIANS('Background calcs'!$G298))+N$66</f>
        <v>-100097.57478000365</v>
      </c>
      <c r="O298" s="1"/>
      <c r="P298" s="1">
        <f>'Geometry Calculator'!P$10/2*SIN(RADIANS('Background calcs'!$G298))+P$66</f>
        <v>-100093.95131337222</v>
      </c>
      <c r="Q298" s="1"/>
      <c r="R298" s="1">
        <f>'Geometry Calculator'!R$10/2*SIN(RADIANS('Background calcs'!$G298))+R$66</f>
        <v>-100093.95131337222</v>
      </c>
      <c r="S298" s="1"/>
      <c r="T298" s="1">
        <f>'Geometry Calculator'!T$10/2*SIN(RADIANS('Background calcs'!$G298))+T$66</f>
        <v>-100096.28068477813</v>
      </c>
      <c r="U298" s="1"/>
      <c r="V298" s="1">
        <f>'Geometry Calculator'!V$10/2*SIN(RADIANS('Background calcs'!$G298))+V$66</f>
        <v>-100096.28068477813</v>
      </c>
      <c r="W298" s="1"/>
      <c r="X298" s="1">
        <f>'Geometry Calculator'!X$10/2*SIN(RADIANS('Background calcs'!$G298))+X$66</f>
        <v>-100098.99828475171</v>
      </c>
      <c r="Y298" s="1"/>
      <c r="Z298" s="1">
        <f>'Geometry Calculator'!Z$10/2*SIN(RADIANS('Background calcs'!$G298))+Z$66</f>
        <v>-100098.99828475171</v>
      </c>
      <c r="AB298" s="159"/>
      <c r="AC298" s="1"/>
      <c r="AD298" s="1"/>
    </row>
    <row r="299" spans="6:30" x14ac:dyDescent="0.25">
      <c r="F299" t="s">
        <v>290</v>
      </c>
      <c r="G299">
        <v>350</v>
      </c>
      <c r="H299" s="1">
        <f>'Geometry Calculator'!H$10/2*SIN(RADIANS('Background calcs'!$G299))+H$66</f>
        <v>-64.249825736764237</v>
      </c>
      <c r="I299" s="1"/>
      <c r="J299" s="1">
        <f>'Geometry Calculator'!J$10/2*SIN(RADIANS('Background calcs'!$G299))+J$66</f>
        <v>-64.249825736764237</v>
      </c>
      <c r="K299" s="1"/>
      <c r="L299" s="1">
        <f>'Geometry Calculator'!L$10/2*SIN(RADIANS('Background calcs'!$G299))+L$66</f>
        <v>-100065.46536298044</v>
      </c>
      <c r="M299" s="1"/>
      <c r="N299" s="1">
        <f>'Geometry Calculator'!N$10/2*SIN(RADIANS('Background calcs'!$G299))+N$66</f>
        <v>-100065.46536298044</v>
      </c>
      <c r="O299" s="1"/>
      <c r="P299" s="1">
        <f>'Geometry Calculator'!P$10/2*SIN(RADIANS('Background calcs'!$G299))+P$66</f>
        <v>-100063.0342884931</v>
      </c>
      <c r="Q299" s="1"/>
      <c r="R299" s="1">
        <f>'Geometry Calculator'!R$10/2*SIN(RADIANS('Background calcs'!$G299))+R$66</f>
        <v>-100063.0342884931</v>
      </c>
      <c r="S299" s="1"/>
      <c r="T299" s="1">
        <f>'Geometry Calculator'!T$10/2*SIN(RADIANS('Background calcs'!$G299))+T$66</f>
        <v>-100064.59712209209</v>
      </c>
      <c r="U299" s="1"/>
      <c r="V299" s="1">
        <f>'Geometry Calculator'!V$10/2*SIN(RADIANS('Background calcs'!$G299))+V$66</f>
        <v>-100064.59712209209</v>
      </c>
      <c r="W299" s="1"/>
      <c r="X299" s="1">
        <f>'Geometry Calculator'!X$10/2*SIN(RADIANS('Background calcs'!$G299))+X$66</f>
        <v>-100066.42042795761</v>
      </c>
      <c r="Y299" s="1"/>
      <c r="Z299" s="1">
        <f>'Geometry Calculator'!Z$10/2*SIN(RADIANS('Background calcs'!$G299))+Z$66</f>
        <v>-100066.42042795761</v>
      </c>
      <c r="AB299" s="159"/>
      <c r="AC299" s="1"/>
      <c r="AD299" s="1"/>
    </row>
    <row r="300" spans="6:30" x14ac:dyDescent="0.25">
      <c r="F300" t="s">
        <v>291</v>
      </c>
      <c r="G300">
        <v>355</v>
      </c>
      <c r="H300" s="1">
        <f>'Geometry Calculator'!H$10/2*SIN(RADIANS('Background calcs'!$G300))+H$66</f>
        <v>-32.247624816633575</v>
      </c>
      <c r="I300" s="1"/>
      <c r="J300" s="1">
        <f>'Geometry Calculator'!J$10/2*SIN(RADIANS('Background calcs'!$G300))+J$66</f>
        <v>-32.247624816633575</v>
      </c>
      <c r="K300" s="1"/>
      <c r="L300" s="1">
        <f>'Geometry Calculator'!L$10/2*SIN(RADIANS('Background calcs'!$G300))+L$66</f>
        <v>-100032.85771501587</v>
      </c>
      <c r="M300" s="1"/>
      <c r="N300" s="1">
        <f>'Geometry Calculator'!N$10/2*SIN(RADIANS('Background calcs'!$G300))+N$66</f>
        <v>-100032.85771501587</v>
      </c>
      <c r="O300" s="1"/>
      <c r="P300" s="1">
        <f>'Geometry Calculator'!P$10/2*SIN(RADIANS('Background calcs'!$G300))+P$66</f>
        <v>-100031.6375346174</v>
      </c>
      <c r="Q300" s="1"/>
      <c r="R300" s="1">
        <f>'Geometry Calculator'!R$10/2*SIN(RADIANS('Background calcs'!$G300))+R$66</f>
        <v>-100031.6375346174</v>
      </c>
      <c r="S300" s="1"/>
      <c r="T300" s="1">
        <f>'Geometry Calculator'!T$10/2*SIN(RADIANS('Background calcs'!$G300))+T$66</f>
        <v>-100032.42193630213</v>
      </c>
      <c r="U300" s="1"/>
      <c r="V300" s="1">
        <f>'Geometry Calculator'!V$10/2*SIN(RADIANS('Background calcs'!$G300))+V$66</f>
        <v>-100032.42193630213</v>
      </c>
      <c r="W300" s="1"/>
      <c r="X300" s="1">
        <f>'Geometry Calculator'!X$10/2*SIN(RADIANS('Background calcs'!$G300))+X$66</f>
        <v>-100033.33707160098</v>
      </c>
      <c r="Y300" s="1"/>
      <c r="Z300" s="1">
        <f>'Geometry Calculator'!Z$10/2*SIN(RADIANS('Background calcs'!$G300))+Z$66</f>
        <v>-100033.33707160098</v>
      </c>
      <c r="AB300" s="159"/>
      <c r="AC300" s="1"/>
      <c r="AD300" s="1"/>
    </row>
    <row r="301" spans="6:30" x14ac:dyDescent="0.25">
      <c r="F301" t="s">
        <v>175</v>
      </c>
      <c r="G301">
        <v>360</v>
      </c>
      <c r="H301" s="1">
        <f>'Geometry Calculator'!H$10/2*SIN(RADIANS('Background calcs'!$G301))+H$66</f>
        <v>-9.0660985663237881E-14</v>
      </c>
      <c r="I301" s="1"/>
      <c r="J301" s="1">
        <f>'Geometry Calculator'!J$10/2*SIN(RADIANS('Background calcs'!$G301))+J$66</f>
        <v>-9.0660985663237881E-14</v>
      </c>
      <c r="K301" s="1"/>
      <c r="L301" s="1">
        <f>'Geometry Calculator'!L$10/2*SIN(RADIANS('Background calcs'!$G301))+L$66</f>
        <v>-100000</v>
      </c>
      <c r="M301" s="1"/>
      <c r="N301" s="1">
        <f>'Geometry Calculator'!N$10/2*SIN(RADIANS('Background calcs'!$G301))+N$66</f>
        <v>-100000</v>
      </c>
      <c r="O301" s="1"/>
      <c r="P301" s="1">
        <f>'Geometry Calculator'!P$10/2*SIN(RADIANS('Background calcs'!$G301))+P$66</f>
        <v>-100000</v>
      </c>
      <c r="Q301" s="1"/>
      <c r="R301" s="1">
        <f>'Geometry Calculator'!R$10/2*SIN(RADIANS('Background calcs'!$G301))+R$66</f>
        <v>-100000</v>
      </c>
      <c r="S301" s="1"/>
      <c r="T301" s="1">
        <f>'Geometry Calculator'!T$10/2*SIN(RADIANS('Background calcs'!$G301))+T$66</f>
        <v>-100000</v>
      </c>
      <c r="U301" s="1"/>
      <c r="V301" s="1">
        <f>'Geometry Calculator'!V$10/2*SIN(RADIANS('Background calcs'!$G301))+V$66</f>
        <v>-100000</v>
      </c>
      <c r="W301" s="1"/>
      <c r="X301" s="1">
        <f>'Geometry Calculator'!X$10/2*SIN(RADIANS('Background calcs'!$G301))+X$66</f>
        <v>-100000</v>
      </c>
      <c r="Y301" s="1"/>
      <c r="Z301" s="1">
        <f>'Geometry Calculator'!Z$10/2*SIN(RADIANS('Background calcs'!$G301))+Z$66</f>
        <v>-100000</v>
      </c>
      <c r="AB301" s="159"/>
      <c r="AC301" s="1"/>
      <c r="AD301" s="1"/>
    </row>
    <row r="303" spans="6:30" x14ac:dyDescent="0.25">
      <c r="F303" t="s">
        <v>176</v>
      </c>
    </row>
    <row r="304" spans="6:30" x14ac:dyDescent="0.25">
      <c r="F304" t="s">
        <v>126</v>
      </c>
      <c r="G304">
        <v>0</v>
      </c>
      <c r="H304" s="1">
        <f>'Geometry Calculator'!H$11/2*COS(RADIANS('Background calcs'!$G304))+H$85</f>
        <v>1599.1335313107741</v>
      </c>
      <c r="I304" s="1"/>
      <c r="J304" s="1">
        <f>'Geometry Calculator'!J$11/2*COS(RADIANS('Background calcs'!$G304))+J$85</f>
        <v>1640.7873115853697</v>
      </c>
      <c r="K304" s="1"/>
      <c r="L304" s="1">
        <f>'Geometry Calculator'!L$11/2*COS(RADIANS('Background calcs'!$G304))+L$85</f>
        <v>-98409.88304439433</v>
      </c>
      <c r="M304" s="1"/>
      <c r="N304" s="1">
        <f>'Geometry Calculator'!N$11/2*COS(RADIANS('Background calcs'!$G304))+N$85</f>
        <v>-98409.88304439433</v>
      </c>
      <c r="O304" s="1"/>
      <c r="P304" s="1">
        <f>'Geometry Calculator'!P$11/2*COS(RADIANS('Background calcs'!$G304))+P$85</f>
        <v>-98491.168555825017</v>
      </c>
      <c r="Q304" s="1"/>
      <c r="R304" s="1">
        <f>'Geometry Calculator'!R$11/2*COS(RADIANS('Background calcs'!$G304))+R$85</f>
        <v>-98459.815492558453</v>
      </c>
      <c r="S304" s="1"/>
      <c r="T304" s="1">
        <f>'Geometry Calculator'!T$11/2*COS(RADIANS('Background calcs'!$G304))+T$85</f>
        <v>-98435.290253128565</v>
      </c>
      <c r="U304" s="1"/>
      <c r="V304" s="1">
        <f>'Geometry Calculator'!V$11/2*COS(RADIANS('Background calcs'!$G304))+V$85</f>
        <v>-98418.758703440195</v>
      </c>
      <c r="W304" s="1"/>
      <c r="X304" s="1">
        <f>'Geometry Calculator'!X$11/2*COS(RADIANS('Background calcs'!$G304))+X$85</f>
        <v>-98430.573403578455</v>
      </c>
      <c r="Y304" s="1"/>
      <c r="Z304" s="1">
        <f>'Geometry Calculator'!Z$11/2*COS(RADIANS('Background calcs'!$G304))+Z$85</f>
        <v>-98413.558572830341</v>
      </c>
      <c r="AB304" s="159"/>
      <c r="AC304" s="1"/>
      <c r="AD304" s="1"/>
    </row>
    <row r="305" spans="6:30" x14ac:dyDescent="0.25">
      <c r="F305" t="s">
        <v>196</v>
      </c>
      <c r="G305">
        <v>5</v>
      </c>
      <c r="H305" s="1">
        <f>'Geometry Calculator'!H$11/2*COS(RADIANS('Background calcs'!$G305))+H$85</f>
        <v>1597.72556960472</v>
      </c>
      <c r="I305" s="1"/>
      <c r="J305" s="1">
        <f>'Geometry Calculator'!J$11/2*COS(RADIANS('Background calcs'!$G305))+J$85</f>
        <v>1639.3527127659577</v>
      </c>
      <c r="K305" s="1"/>
      <c r="L305" s="1">
        <f>'Geometry Calculator'!L$11/2*COS(RADIANS('Background calcs'!$G305))+L$85</f>
        <v>-98411.317643213741</v>
      </c>
      <c r="M305" s="1"/>
      <c r="N305" s="1">
        <f>'Geometry Calculator'!N$11/2*COS(RADIANS('Background calcs'!$G305))+N$85</f>
        <v>-98411.317643213741</v>
      </c>
      <c r="O305" s="1"/>
      <c r="P305" s="1">
        <f>'Geometry Calculator'!P$11/2*COS(RADIANS('Background calcs'!$G305))+P$85</f>
        <v>-98492.549880417719</v>
      </c>
      <c r="Q305" s="1"/>
      <c r="R305" s="1">
        <f>'Geometry Calculator'!R$11/2*COS(RADIANS('Background calcs'!$G305))+R$85</f>
        <v>-98461.240578123092</v>
      </c>
      <c r="S305" s="1"/>
      <c r="T305" s="1">
        <f>'Geometry Calculator'!T$11/2*COS(RADIANS('Background calcs'!$G305))+T$85</f>
        <v>-98436.705825438432</v>
      </c>
      <c r="U305" s="1"/>
      <c r="V305" s="1">
        <f>'Geometry Calculator'!V$11/2*COS(RADIANS('Background calcs'!$G305))+V$85</f>
        <v>-98420.174275750061</v>
      </c>
      <c r="W305" s="1"/>
      <c r="X305" s="1">
        <f>'Geometry Calculator'!X$11/2*COS(RADIANS('Background calcs'!$G305))+X$85</f>
        <v>-98432.028931558365</v>
      </c>
      <c r="Y305" s="1"/>
      <c r="Z305" s="1">
        <f>'Geometry Calculator'!Z$11/2*COS(RADIANS('Background calcs'!$G305))+Z$85</f>
        <v>-98415.014100810251</v>
      </c>
      <c r="AB305" s="159"/>
      <c r="AC305" s="1"/>
      <c r="AD305" s="1"/>
    </row>
    <row r="306" spans="6:30" x14ac:dyDescent="0.25">
      <c r="F306" t="s">
        <v>197</v>
      </c>
      <c r="G306">
        <v>10</v>
      </c>
      <c r="H306" s="1">
        <f>'Geometry Calculator'!H$11/2*COS(RADIANS('Background calcs'!$G306))+H$85</f>
        <v>1593.512399925291</v>
      </c>
      <c r="I306" s="1"/>
      <c r="J306" s="1">
        <f>'Geometry Calculator'!J$11/2*COS(RADIANS('Background calcs'!$G306))+J$85</f>
        <v>1635.0598344709722</v>
      </c>
      <c r="K306" s="1"/>
      <c r="L306" s="1">
        <f>'Geometry Calculator'!L$11/2*COS(RADIANS('Background calcs'!$G306))+L$85</f>
        <v>-98415.61052150873</v>
      </c>
      <c r="M306" s="1"/>
      <c r="N306" s="1">
        <f>'Geometry Calculator'!N$11/2*COS(RADIANS('Background calcs'!$G306))+N$85</f>
        <v>-98415.61052150873</v>
      </c>
      <c r="O306" s="1"/>
      <c r="P306" s="1">
        <f>'Geometry Calculator'!P$11/2*COS(RADIANS('Background calcs'!$G306))+P$85</f>
        <v>-98496.683341481592</v>
      </c>
      <c r="Q306" s="1"/>
      <c r="R306" s="1">
        <f>'Geometry Calculator'!R$11/2*COS(RADIANS('Background calcs'!$G306))+R$85</f>
        <v>-98465.504989055378</v>
      </c>
      <c r="S306" s="1"/>
      <c r="T306" s="1">
        <f>'Geometry Calculator'!T$11/2*COS(RADIANS('Background calcs'!$G306))+T$85</f>
        <v>-98440.94176900803</v>
      </c>
      <c r="U306" s="1"/>
      <c r="V306" s="1">
        <f>'Geometry Calculator'!V$11/2*COS(RADIANS('Background calcs'!$G306))+V$85</f>
        <v>-98424.41021931966</v>
      </c>
      <c r="W306" s="1"/>
      <c r="X306" s="1">
        <f>'Geometry Calculator'!X$11/2*COS(RADIANS('Background calcs'!$G306))+X$85</f>
        <v>-98436.384438051289</v>
      </c>
      <c r="Y306" s="1"/>
      <c r="Z306" s="1">
        <f>'Geometry Calculator'!Z$11/2*COS(RADIANS('Background calcs'!$G306))+Z$85</f>
        <v>-98419.369607303175</v>
      </c>
      <c r="AB306" s="159"/>
      <c r="AC306" s="1"/>
      <c r="AD306" s="1"/>
    </row>
    <row r="307" spans="6:30" x14ac:dyDescent="0.25">
      <c r="F307" t="s">
        <v>127</v>
      </c>
      <c r="G307">
        <v>15</v>
      </c>
      <c r="H307" s="1">
        <f>'Geometry Calculator'!H$11/2*COS(RADIANS('Background calcs'!$G307))+H$85</f>
        <v>1586.5260870377292</v>
      </c>
      <c r="I307" s="1"/>
      <c r="J307" s="1">
        <f>'Geometry Calculator'!J$11/2*COS(RADIANS('Background calcs'!$G307))+J$85</f>
        <v>1627.9413480963485</v>
      </c>
      <c r="K307" s="1"/>
      <c r="L307" s="1">
        <f>'Geometry Calculator'!L$11/2*COS(RADIANS('Background calcs'!$G307))+L$85</f>
        <v>-98422.729007883347</v>
      </c>
      <c r="M307" s="1"/>
      <c r="N307" s="1">
        <f>'Geometry Calculator'!N$11/2*COS(RADIANS('Background calcs'!$G307))+N$85</f>
        <v>-98422.729007883347</v>
      </c>
      <c r="O307" s="1"/>
      <c r="P307" s="1">
        <f>'Geometry Calculator'!P$11/2*COS(RADIANS('Background calcs'!$G307))+P$85</f>
        <v>-98503.537480882092</v>
      </c>
      <c r="Q307" s="1"/>
      <c r="R307" s="1">
        <f>'Geometry Calculator'!R$11/2*COS(RADIANS('Background calcs'!$G307))+R$85</f>
        <v>-98472.576270613194</v>
      </c>
      <c r="S307" s="1"/>
      <c r="T307" s="1">
        <f>'Geometry Calculator'!T$11/2*COS(RADIANS('Background calcs'!$G307))+T$85</f>
        <v>-98447.96584574903</v>
      </c>
      <c r="U307" s="1"/>
      <c r="V307" s="1">
        <f>'Geometry Calculator'!V$11/2*COS(RADIANS('Background calcs'!$G307))+V$85</f>
        <v>-98431.434296060659</v>
      </c>
      <c r="W307" s="1"/>
      <c r="X307" s="1">
        <f>'Geometry Calculator'!X$11/2*COS(RADIANS('Background calcs'!$G307))+X$85</f>
        <v>-98443.606775022883</v>
      </c>
      <c r="Y307" s="1"/>
      <c r="Z307" s="1">
        <f>'Geometry Calculator'!Z$11/2*COS(RADIANS('Background calcs'!$G307))+Z$85</f>
        <v>-98426.591944274769</v>
      </c>
      <c r="AB307" s="159"/>
      <c r="AC307" s="1"/>
      <c r="AD307" s="1"/>
    </row>
    <row r="308" spans="6:30" x14ac:dyDescent="0.25">
      <c r="F308" t="s">
        <v>198</v>
      </c>
      <c r="G308">
        <v>20</v>
      </c>
      <c r="H308" s="1">
        <f>'Geometry Calculator'!H$11/2*COS(RADIANS('Background calcs'!$G308))+H$85</f>
        <v>1576.8198010015601</v>
      </c>
      <c r="I308" s="1"/>
      <c r="J308" s="1">
        <f>'Geometry Calculator'!J$11/2*COS(RADIANS('Background calcs'!$G308))+J$85</f>
        <v>1618.0514296216572</v>
      </c>
      <c r="K308" s="1"/>
      <c r="L308" s="1">
        <f>'Geometry Calculator'!L$11/2*COS(RADIANS('Background calcs'!$G308))+L$85</f>
        <v>-98432.618926358045</v>
      </c>
      <c r="M308" s="1"/>
      <c r="N308" s="1">
        <f>'Geometry Calculator'!N$11/2*COS(RADIANS('Background calcs'!$G308))+N$85</f>
        <v>-98432.618926358045</v>
      </c>
      <c r="O308" s="1"/>
      <c r="P308" s="1">
        <f>'Geometry Calculator'!P$11/2*COS(RADIANS('Background calcs'!$G308))+P$85</f>
        <v>-98513.060134479732</v>
      </c>
      <c r="Q308" s="1"/>
      <c r="R308" s="1">
        <f>'Geometry Calculator'!R$11/2*COS(RADIANS('Background calcs'!$G308))+R$85</f>
        <v>-98482.400606074138</v>
      </c>
      <c r="S308" s="1"/>
      <c r="T308" s="1">
        <f>'Geometry Calculator'!T$11/2*COS(RADIANS('Background calcs'!$G308))+T$85</f>
        <v>-98457.724598196204</v>
      </c>
      <c r="U308" s="1"/>
      <c r="V308" s="1">
        <f>'Geometry Calculator'!V$11/2*COS(RADIANS('Background calcs'!$G308))+V$85</f>
        <v>-98441.193048507834</v>
      </c>
      <c r="W308" s="1"/>
      <c r="X308" s="1">
        <f>'Geometry Calculator'!X$11/2*COS(RADIANS('Background calcs'!$G308))+X$85</f>
        <v>-98453.640976127848</v>
      </c>
      <c r="Y308" s="1"/>
      <c r="Z308" s="1">
        <f>'Geometry Calculator'!Z$11/2*COS(RADIANS('Background calcs'!$G308))+Z$85</f>
        <v>-98436.626145379734</v>
      </c>
      <c r="AB308" s="159"/>
      <c r="AC308" s="1"/>
      <c r="AD308" s="1"/>
    </row>
    <row r="309" spans="6:30" x14ac:dyDescent="0.25">
      <c r="F309" t="s">
        <v>199</v>
      </c>
      <c r="G309">
        <v>25</v>
      </c>
      <c r="H309" s="1">
        <f>'Geometry Calculator'!H$11/2*COS(RADIANS('Background calcs'!$G309))+H$85</f>
        <v>1564.4674125143345</v>
      </c>
      <c r="I309" s="1"/>
      <c r="J309" s="1">
        <f>'Geometry Calculator'!J$11/2*COS(RADIANS('Background calcs'!$G309))+J$85</f>
        <v>1605.4653472981868</v>
      </c>
      <c r="K309" s="1"/>
      <c r="L309" s="1">
        <f>'Geometry Calculator'!L$11/2*COS(RADIANS('Background calcs'!$G309))+L$85</f>
        <v>-98445.205008681514</v>
      </c>
      <c r="M309" s="1"/>
      <c r="N309" s="1">
        <f>'Geometry Calculator'!N$11/2*COS(RADIANS('Background calcs'!$G309))+N$85</f>
        <v>-98445.205008681514</v>
      </c>
      <c r="O309" s="1"/>
      <c r="P309" s="1">
        <f>'Geometry Calculator'!P$11/2*COS(RADIANS('Background calcs'!$G309))+P$85</f>
        <v>-98525.178829130717</v>
      </c>
      <c r="Q309" s="1"/>
      <c r="R309" s="1">
        <f>'Geometry Calculator'!R$11/2*COS(RADIANS('Background calcs'!$G309))+R$85</f>
        <v>-98494.903226313225</v>
      </c>
      <c r="S309" s="1"/>
      <c r="T309" s="1">
        <f>'Geometry Calculator'!T$11/2*COS(RADIANS('Background calcs'!$G309))+T$85</f>
        <v>-98470.143756350924</v>
      </c>
      <c r="U309" s="1"/>
      <c r="V309" s="1">
        <f>'Geometry Calculator'!V$11/2*COS(RADIANS('Background calcs'!$G309))+V$85</f>
        <v>-98453.612206662554</v>
      </c>
      <c r="W309" s="1"/>
      <c r="X309" s="1">
        <f>'Geometry Calculator'!X$11/2*COS(RADIANS('Background calcs'!$G309))+X$85</f>
        <v>-98466.410675036939</v>
      </c>
      <c r="Y309" s="1"/>
      <c r="Z309" s="1">
        <f>'Geometry Calculator'!Z$11/2*COS(RADIANS('Background calcs'!$G309))+Z$85</f>
        <v>-98449.395844288825</v>
      </c>
      <c r="AB309" s="159"/>
      <c r="AC309" s="1"/>
      <c r="AD309" s="1"/>
    </row>
    <row r="310" spans="6:30" x14ac:dyDescent="0.25">
      <c r="F310" t="s">
        <v>128</v>
      </c>
      <c r="G310">
        <v>30</v>
      </c>
      <c r="H310" s="1">
        <f>'Geometry Calculator'!H$11/2*COS(RADIANS('Background calcs'!$G310))+H$85</f>
        <v>1549.5629307110164</v>
      </c>
      <c r="I310" s="1"/>
      <c r="J310" s="1">
        <f>'Geometry Calculator'!J$11/2*COS(RADIANS('Background calcs'!$G310))+J$85</f>
        <v>1590.2788888121031</v>
      </c>
      <c r="K310" s="1"/>
      <c r="L310" s="1">
        <f>'Geometry Calculator'!L$11/2*COS(RADIANS('Background calcs'!$G310))+L$85</f>
        <v>-98460.391467167603</v>
      </c>
      <c r="M310" s="1"/>
      <c r="N310" s="1">
        <f>'Geometry Calculator'!N$11/2*COS(RADIANS('Background calcs'!$G310))+N$85</f>
        <v>-98460.391467167603</v>
      </c>
      <c r="O310" s="1"/>
      <c r="P310" s="1">
        <f>'Geometry Calculator'!P$11/2*COS(RADIANS('Background calcs'!$G310))+P$85</f>
        <v>-98539.801334251271</v>
      </c>
      <c r="Q310" s="1"/>
      <c r="R310" s="1">
        <f>'Geometry Calculator'!R$11/2*COS(RADIANS('Background calcs'!$G310))+R$85</f>
        <v>-98509.988978841182</v>
      </c>
      <c r="S310" s="1"/>
      <c r="T310" s="1">
        <f>'Geometry Calculator'!T$11/2*COS(RADIANS('Background calcs'!$G310))+T$85</f>
        <v>-98485.12880292075</v>
      </c>
      <c r="U310" s="1"/>
      <c r="V310" s="1">
        <f>'Geometry Calculator'!V$11/2*COS(RADIANS('Background calcs'!$G310))+V$85</f>
        <v>-98468.597253232379</v>
      </c>
      <c r="W310" s="1"/>
      <c r="X310" s="1">
        <f>'Geometry Calculator'!X$11/2*COS(RADIANS('Background calcs'!$G310))+X$85</f>
        <v>-98481.818686630912</v>
      </c>
      <c r="Y310" s="1"/>
      <c r="Z310" s="1">
        <f>'Geometry Calculator'!Z$11/2*COS(RADIANS('Background calcs'!$G310))+Z$85</f>
        <v>-98464.803855882798</v>
      </c>
      <c r="AB310" s="159"/>
      <c r="AC310" s="1"/>
      <c r="AD310" s="1"/>
    </row>
    <row r="311" spans="6:30" x14ac:dyDescent="0.25">
      <c r="F311" t="s">
        <v>200</v>
      </c>
      <c r="G311">
        <v>35</v>
      </c>
      <c r="H311" s="1">
        <f>'Geometry Calculator'!H$11/2*COS(RADIANS('Background calcs'!$G311))+H$85</f>
        <v>1532.2197876977011</v>
      </c>
      <c r="I311" s="1"/>
      <c r="J311" s="1">
        <f>'Geometry Calculator'!J$11/2*COS(RADIANS('Background calcs'!$G311))+J$85</f>
        <v>1572.6076322823196</v>
      </c>
      <c r="K311" s="1"/>
      <c r="L311" s="1">
        <f>'Geometry Calculator'!L$11/2*COS(RADIANS('Background calcs'!$G311))+L$85</f>
        <v>-98478.062723697381</v>
      </c>
      <c r="M311" s="1"/>
      <c r="N311" s="1">
        <f>'Geometry Calculator'!N$11/2*COS(RADIANS('Background calcs'!$G311))+N$85</f>
        <v>-98478.062723697381</v>
      </c>
      <c r="O311" s="1"/>
      <c r="P311" s="1">
        <f>'Geometry Calculator'!P$11/2*COS(RADIANS('Background calcs'!$G311))+P$85</f>
        <v>-98556.816363748119</v>
      </c>
      <c r="Q311" s="1"/>
      <c r="R311" s="1">
        <f>'Geometry Calculator'!R$11/2*COS(RADIANS('Background calcs'!$G311))+R$85</f>
        <v>-98527.543051972229</v>
      </c>
      <c r="S311" s="1"/>
      <c r="T311" s="1">
        <f>'Geometry Calculator'!T$11/2*COS(RADIANS('Background calcs'!$G311))+T$85</f>
        <v>-98502.565692653065</v>
      </c>
      <c r="U311" s="1"/>
      <c r="V311" s="1">
        <f>'Geometry Calculator'!V$11/2*COS(RADIANS('Background calcs'!$G311))+V$85</f>
        <v>-98486.034142964694</v>
      </c>
      <c r="W311" s="1"/>
      <c r="X311" s="1">
        <f>'Geometry Calculator'!X$11/2*COS(RADIANS('Background calcs'!$G311))+X$85</f>
        <v>-98499.74774663792</v>
      </c>
      <c r="Y311" s="1"/>
      <c r="Z311" s="1">
        <f>'Geometry Calculator'!Z$11/2*COS(RADIANS('Background calcs'!$G311))+Z$85</f>
        <v>-98482.732915889806</v>
      </c>
      <c r="AB311" s="159"/>
      <c r="AC311" s="1"/>
      <c r="AD311" s="1"/>
    </row>
    <row r="312" spans="6:30" x14ac:dyDescent="0.25">
      <c r="F312" t="s">
        <v>201</v>
      </c>
      <c r="G312">
        <v>40</v>
      </c>
      <c r="H312" s="1">
        <f>'Geometry Calculator'!H$11/2*COS(RADIANS('Background calcs'!$G312))+H$85</f>
        <v>1512.5699752647959</v>
      </c>
      <c r="I312" s="1"/>
      <c r="J312" s="1">
        <f>'Geometry Calculator'!J$11/2*COS(RADIANS('Background calcs'!$G312))+J$85</f>
        <v>1552.5860666412245</v>
      </c>
      <c r="K312" s="1"/>
      <c r="L312" s="1">
        <f>'Geometry Calculator'!L$11/2*COS(RADIANS('Background calcs'!$G312))+L$85</f>
        <v>-98498.084289338469</v>
      </c>
      <c r="M312" s="1"/>
      <c r="N312" s="1">
        <f>'Geometry Calculator'!N$11/2*COS(RADIANS('Background calcs'!$G312))+N$85</f>
        <v>-98498.084289338469</v>
      </c>
      <c r="O312" s="1"/>
      <c r="P312" s="1">
        <f>'Geometry Calculator'!P$11/2*COS(RADIANS('Background calcs'!$G312))+P$85</f>
        <v>-98576.094422972834</v>
      </c>
      <c r="Q312" s="1"/>
      <c r="R312" s="1">
        <f>'Geometry Calculator'!R$11/2*COS(RADIANS('Background calcs'!$G312))+R$85</f>
        <v>-98547.431848610402</v>
      </c>
      <c r="S312" s="1"/>
      <c r="T312" s="1">
        <f>'Geometry Calculator'!T$11/2*COS(RADIANS('Background calcs'!$G312))+T$85</f>
        <v>-98522.32172028831</v>
      </c>
      <c r="U312" s="1"/>
      <c r="V312" s="1">
        <f>'Geometry Calculator'!V$11/2*COS(RADIANS('Background calcs'!$G312))+V$85</f>
        <v>-98505.790170599939</v>
      </c>
      <c r="W312" s="1"/>
      <c r="X312" s="1">
        <f>'Geometry Calculator'!X$11/2*COS(RADIANS('Background calcs'!$G312))+X$85</f>
        <v>-98520.061404085442</v>
      </c>
      <c r="Y312" s="1"/>
      <c r="Z312" s="1">
        <f>'Geometry Calculator'!Z$11/2*COS(RADIANS('Background calcs'!$G312))+Z$85</f>
        <v>-98503.046573337328</v>
      </c>
      <c r="AB312" s="159"/>
      <c r="AC312" s="1"/>
      <c r="AD312" s="1"/>
    </row>
    <row r="313" spans="6:30" x14ac:dyDescent="0.25">
      <c r="F313" t="s">
        <v>129</v>
      </c>
      <c r="G313">
        <v>45</v>
      </c>
      <c r="H313" s="1">
        <f>'Geometry Calculator'!H$11/2*COS(RADIANS('Background calcs'!$G313))+H$85</f>
        <v>1490.7630403497967</v>
      </c>
      <c r="I313" s="1"/>
      <c r="J313" s="1">
        <f>'Geometry Calculator'!J$11/2*COS(RADIANS('Background calcs'!$G313))+J$85</f>
        <v>1530.3665680926981</v>
      </c>
      <c r="K313" s="1"/>
      <c r="L313" s="1">
        <f>'Geometry Calculator'!L$11/2*COS(RADIANS('Background calcs'!$G313))+L$85</f>
        <v>-98520.303787886995</v>
      </c>
      <c r="M313" s="1"/>
      <c r="N313" s="1">
        <f>'Geometry Calculator'!N$11/2*COS(RADIANS('Background calcs'!$G313))+N$85</f>
        <v>-98520.303787886995</v>
      </c>
      <c r="O313" s="1"/>
      <c r="P313" s="1">
        <f>'Geometry Calculator'!P$11/2*COS(RADIANS('Background calcs'!$G313))+P$85</f>
        <v>-98597.488794254299</v>
      </c>
      <c r="Q313" s="1"/>
      <c r="R313" s="1">
        <f>'Geometry Calculator'!R$11/2*COS(RADIANS('Background calcs'!$G313))+R$85</f>
        <v>-98569.504003004098</v>
      </c>
      <c r="S313" s="1"/>
      <c r="T313" s="1">
        <f>'Geometry Calculator'!T$11/2*COS(RADIANS('Background calcs'!$G313))+T$85</f>
        <v>-98544.246530527176</v>
      </c>
      <c r="U313" s="1"/>
      <c r="V313" s="1">
        <f>'Geometry Calculator'!V$11/2*COS(RADIANS('Background calcs'!$G313))+V$85</f>
        <v>-98527.714980838806</v>
      </c>
      <c r="W313" s="1"/>
      <c r="X313" s="1">
        <f>'Geometry Calculator'!X$11/2*COS(RADIANS('Background calcs'!$G313))+X$85</f>
        <v>-98542.605059774607</v>
      </c>
      <c r="Y313" s="1"/>
      <c r="Z313" s="1">
        <f>'Geometry Calculator'!Z$11/2*COS(RADIANS('Background calcs'!$G313))+Z$85</f>
        <v>-98525.590229026493</v>
      </c>
      <c r="AB313" s="159"/>
      <c r="AC313" s="1"/>
      <c r="AD313" s="1"/>
    </row>
    <row r="314" spans="6:30" x14ac:dyDescent="0.25">
      <c r="F314" t="s">
        <v>202</v>
      </c>
      <c r="G314">
        <v>50</v>
      </c>
      <c r="H314" s="1">
        <f>'Geometry Calculator'!H$11/2*COS(RADIANS('Background calcs'!$G314))+H$85</f>
        <v>1466.9649468947937</v>
      </c>
      <c r="I314" s="1"/>
      <c r="J314" s="1">
        <f>'Geometry Calculator'!J$11/2*COS(RADIANS('Background calcs'!$G314))+J$85</f>
        <v>1506.118240437195</v>
      </c>
      <c r="K314" s="1"/>
      <c r="L314" s="1">
        <f>'Geometry Calculator'!L$11/2*COS(RADIANS('Background calcs'!$G314))+L$85</f>
        <v>-98544.552115542509</v>
      </c>
      <c r="M314" s="1"/>
      <c r="N314" s="1">
        <f>'Geometry Calculator'!N$11/2*COS(RADIANS('Background calcs'!$G314))+N$85</f>
        <v>-98544.552115542509</v>
      </c>
      <c r="O314" s="1"/>
      <c r="P314" s="1">
        <f>'Geometry Calculator'!P$11/2*COS(RADIANS('Background calcs'!$G314))+P$85</f>
        <v>-98620.836653508799</v>
      </c>
      <c r="Q314" s="1"/>
      <c r="R314" s="1">
        <f>'Geometry Calculator'!R$11/2*COS(RADIANS('Background calcs'!$G314))+R$85</f>
        <v>-98593.591532730847</v>
      </c>
      <c r="S314" s="1"/>
      <c r="T314" s="1">
        <f>'Geometry Calculator'!T$11/2*COS(RADIANS('Background calcs'!$G314))+T$85</f>
        <v>-98568.173262325174</v>
      </c>
      <c r="U314" s="1"/>
      <c r="V314" s="1">
        <f>'Geometry Calculator'!V$11/2*COS(RADIANS('Background calcs'!$G314))+V$85</f>
        <v>-98551.641712636803</v>
      </c>
      <c r="W314" s="1"/>
      <c r="X314" s="1">
        <f>'Geometry Calculator'!X$11/2*COS(RADIANS('Background calcs'!$G314))+X$85</f>
        <v>-98567.207142873347</v>
      </c>
      <c r="Y314" s="1"/>
      <c r="Z314" s="1">
        <f>'Geometry Calculator'!Z$11/2*COS(RADIANS('Background calcs'!$G314))+Z$85</f>
        <v>-98550.192312125233</v>
      </c>
      <c r="AB314" s="159"/>
      <c r="AC314" s="1"/>
      <c r="AD314" s="1"/>
    </row>
    <row r="315" spans="6:30" x14ac:dyDescent="0.25">
      <c r="F315" t="s">
        <v>203</v>
      </c>
      <c r="G315">
        <v>55</v>
      </c>
      <c r="H315" s="1">
        <f>'Geometry Calculator'!H$11/2*COS(RADIANS('Background calcs'!$G315))+H$85</f>
        <v>1441.3568127606611</v>
      </c>
      <c r="I315" s="1"/>
      <c r="J315" s="1">
        <f>'Geometry Calculator'!J$11/2*COS(RADIANS('Background calcs'!$G315))+J$85</f>
        <v>1480.025628089714</v>
      </c>
      <c r="K315" s="1"/>
      <c r="L315" s="1">
        <f>'Geometry Calculator'!L$11/2*COS(RADIANS('Background calcs'!$G315))+L$85</f>
        <v>-98570.644727889987</v>
      </c>
      <c r="M315" s="1"/>
      <c r="N315" s="1">
        <f>'Geometry Calculator'!N$11/2*COS(RADIANS('Background calcs'!$G315))+N$85</f>
        <v>-98570.644727889987</v>
      </c>
      <c r="O315" s="1"/>
      <c r="P315" s="1">
        <f>'Geometry Calculator'!P$11/2*COS(RADIANS('Background calcs'!$G315))+P$85</f>
        <v>-98645.960309429589</v>
      </c>
      <c r="Q315" s="1"/>
      <c r="R315" s="1">
        <f>'Geometry Calculator'!R$11/2*COS(RADIANS('Background calcs'!$G315))+R$85</f>
        <v>-98619.511117144983</v>
      </c>
      <c r="S315" s="1"/>
      <c r="T315" s="1">
        <f>'Geometry Calculator'!T$11/2*COS(RADIANS('Background calcs'!$G315))+T$85</f>
        <v>-98593.919818805982</v>
      </c>
      <c r="U315" s="1"/>
      <c r="V315" s="1">
        <f>'Geometry Calculator'!V$11/2*COS(RADIANS('Background calcs'!$G315))+V$85</f>
        <v>-98577.388269117611</v>
      </c>
      <c r="W315" s="1"/>
      <c r="X315" s="1">
        <f>'Geometry Calculator'!X$11/2*COS(RADIANS('Background calcs'!$G315))+X$85</f>
        <v>-98593.680416674179</v>
      </c>
      <c r="Y315" s="1"/>
      <c r="Z315" s="1">
        <f>'Geometry Calculator'!Z$11/2*COS(RADIANS('Background calcs'!$G315))+Z$85</f>
        <v>-98576.665585926065</v>
      </c>
      <c r="AB315" s="159"/>
      <c r="AC315" s="1"/>
      <c r="AD315" s="1"/>
    </row>
    <row r="316" spans="6:30" x14ac:dyDescent="0.25">
      <c r="F316" t="s">
        <v>130</v>
      </c>
      <c r="G316">
        <v>60</v>
      </c>
      <c r="H316" s="1">
        <f>'Geometry Calculator'!H$11/2*COS(RADIANS('Background calcs'!$G316))+H$85</f>
        <v>1414.1335313107741</v>
      </c>
      <c r="I316" s="1"/>
      <c r="J316" s="1">
        <f>'Geometry Calculator'!J$11/2*COS(RADIANS('Background calcs'!$G316))+J$85</f>
        <v>1452.2873115853697</v>
      </c>
      <c r="K316" s="1"/>
      <c r="L316" s="1">
        <f>'Geometry Calculator'!L$11/2*COS(RADIANS('Background calcs'!$G316))+L$85</f>
        <v>-98598.38304439433</v>
      </c>
      <c r="M316" s="1"/>
      <c r="N316" s="1">
        <f>'Geometry Calculator'!N$11/2*COS(RADIANS('Background calcs'!$G316))+N$85</f>
        <v>-98598.38304439433</v>
      </c>
      <c r="O316" s="1"/>
      <c r="P316" s="1">
        <f>'Geometry Calculator'!P$11/2*COS(RADIANS('Background calcs'!$G316))+P$85</f>
        <v>-98672.668555825017</v>
      </c>
      <c r="Q316" s="1"/>
      <c r="R316" s="1">
        <f>'Geometry Calculator'!R$11/2*COS(RADIANS('Background calcs'!$G316))+R$85</f>
        <v>-98647.065492558453</v>
      </c>
      <c r="S316" s="1"/>
      <c r="T316" s="1">
        <f>'Geometry Calculator'!T$11/2*COS(RADIANS('Background calcs'!$G316))+T$85</f>
        <v>-98621.290253128565</v>
      </c>
      <c r="U316" s="1"/>
      <c r="V316" s="1">
        <f>'Geometry Calculator'!V$11/2*COS(RADIANS('Background calcs'!$G316))+V$85</f>
        <v>-98604.758703440195</v>
      </c>
      <c r="W316" s="1"/>
      <c r="X316" s="1">
        <f>'Geometry Calculator'!X$11/2*COS(RADIANS('Background calcs'!$G316))+X$85</f>
        <v>-98621.823403578455</v>
      </c>
      <c r="Y316" s="1"/>
      <c r="Z316" s="1">
        <f>'Geometry Calculator'!Z$11/2*COS(RADIANS('Background calcs'!$G316))+Z$85</f>
        <v>-98604.808572830341</v>
      </c>
      <c r="AB316" s="159"/>
      <c r="AC316" s="1"/>
      <c r="AD316" s="1"/>
    </row>
    <row r="317" spans="6:30" x14ac:dyDescent="0.25">
      <c r="F317" t="s">
        <v>204</v>
      </c>
      <c r="G317">
        <v>65</v>
      </c>
      <c r="H317" s="1">
        <f>'Geometry Calculator'!H$11/2*COS(RADIANS('Background calcs'!$G317))+H$85</f>
        <v>1385.502288154833</v>
      </c>
      <c r="I317" s="1"/>
      <c r="J317" s="1">
        <f>'Geometry Calculator'!J$11/2*COS(RADIANS('Background calcs'!$G317))+J$85</f>
        <v>1423.1143962616134</v>
      </c>
      <c r="K317" s="1"/>
      <c r="L317" s="1">
        <f>'Geometry Calculator'!L$11/2*COS(RADIANS('Background calcs'!$G317))+L$85</f>
        <v>-98627.555959718084</v>
      </c>
      <c r="M317" s="1"/>
      <c r="N317" s="1">
        <f>'Geometry Calculator'!N$11/2*COS(RADIANS('Background calcs'!$G317))+N$85</f>
        <v>-98627.555959718084</v>
      </c>
      <c r="O317" s="1"/>
      <c r="P317" s="1">
        <f>'Geometry Calculator'!P$11/2*COS(RADIANS('Background calcs'!$G317))+P$85</f>
        <v>-98700.758126813147</v>
      </c>
      <c r="Q317" s="1"/>
      <c r="R317" s="1">
        <f>'Geometry Calculator'!R$11/2*COS(RADIANS('Background calcs'!$G317))+R$85</f>
        <v>-98676.044953536562</v>
      </c>
      <c r="S317" s="1"/>
      <c r="T317" s="1">
        <f>'Geometry Calculator'!T$11/2*COS(RADIANS('Background calcs'!$G317))+T$85</f>
        <v>-98650.07625976103</v>
      </c>
      <c r="U317" s="1"/>
      <c r="V317" s="1">
        <f>'Geometry Calculator'!V$11/2*COS(RADIANS('Background calcs'!$G317))+V$85</f>
        <v>-98633.54471007266</v>
      </c>
      <c r="W317" s="1"/>
      <c r="X317" s="1">
        <f>'Geometry Calculator'!X$11/2*COS(RADIANS('Background calcs'!$G317))+X$85</f>
        <v>-98651.421918462642</v>
      </c>
      <c r="Y317" s="1"/>
      <c r="Z317" s="1">
        <f>'Geometry Calculator'!Z$11/2*COS(RADIANS('Background calcs'!$G317))+Z$85</f>
        <v>-98634.407087714528</v>
      </c>
      <c r="AB317" s="159"/>
      <c r="AC317" s="1"/>
      <c r="AD317" s="1"/>
    </row>
    <row r="318" spans="6:30" x14ac:dyDescent="0.25">
      <c r="F318" t="s">
        <v>205</v>
      </c>
      <c r="G318">
        <v>70</v>
      </c>
      <c r="H318" s="1">
        <f>'Geometry Calculator'!H$11/2*COS(RADIANS('Background calcs'!$G318))+H$85</f>
        <v>1355.6809843412716</v>
      </c>
      <c r="I318" s="1"/>
      <c r="J318" s="1">
        <f>'Geometry Calculator'!J$11/2*COS(RADIANS('Background calcs'!$G318))+J$85</f>
        <v>1392.7289056191469</v>
      </c>
      <c r="K318" s="1"/>
      <c r="L318" s="1">
        <f>'Geometry Calculator'!L$11/2*COS(RADIANS('Background calcs'!$G318))+L$85</f>
        <v>-98657.941450360551</v>
      </c>
      <c r="M318" s="1"/>
      <c r="N318" s="1">
        <f>'Geometry Calculator'!N$11/2*COS(RADIANS('Background calcs'!$G318))+N$85</f>
        <v>-98657.941450360551</v>
      </c>
      <c r="O318" s="1"/>
      <c r="P318" s="1">
        <f>'Geometry Calculator'!P$11/2*COS(RADIANS('Background calcs'!$G318))+P$85</f>
        <v>-98730.015243797796</v>
      </c>
      <c r="Q318" s="1"/>
      <c r="R318" s="1">
        <f>'Geometry Calculator'!R$11/2*COS(RADIANS('Background calcs'!$G318))+R$85</f>
        <v>-98706.228948882985</v>
      </c>
      <c r="S318" s="1"/>
      <c r="T318" s="1">
        <f>'Geometry Calculator'!T$11/2*COS(RADIANS('Background calcs'!$G318))+T$85</f>
        <v>-98680.058759811422</v>
      </c>
      <c r="U318" s="1"/>
      <c r="V318" s="1">
        <f>'Geometry Calculator'!V$11/2*COS(RADIANS('Background calcs'!$G318))+V$85</f>
        <v>-98663.527210123051</v>
      </c>
      <c r="W318" s="1"/>
      <c r="X318" s="1">
        <f>'Geometry Calculator'!X$11/2*COS(RADIANS('Background calcs'!$G318))+X$85</f>
        <v>-98682.250698756383</v>
      </c>
      <c r="Y318" s="1"/>
      <c r="Z318" s="1">
        <f>'Geometry Calculator'!Z$11/2*COS(RADIANS('Background calcs'!$G318))+Z$85</f>
        <v>-98665.235868008269</v>
      </c>
      <c r="AB318" s="159"/>
      <c r="AC318" s="1"/>
      <c r="AD318" s="1"/>
    </row>
    <row r="319" spans="6:30" x14ac:dyDescent="0.25">
      <c r="F319" t="s">
        <v>131</v>
      </c>
      <c r="G319">
        <v>75</v>
      </c>
      <c r="H319" s="1">
        <f>'Geometry Calculator'!H$11/2*COS(RADIANS('Background calcs'!$G319))+H$85</f>
        <v>1324.8965779987068</v>
      </c>
      <c r="I319" s="1"/>
      <c r="J319" s="1">
        <f>'Geometry Calculator'!J$11/2*COS(RADIANS('Background calcs'!$G319))+J$85</f>
        <v>1361.3620915890201</v>
      </c>
      <c r="K319" s="1"/>
      <c r="L319" s="1">
        <f>'Geometry Calculator'!L$11/2*COS(RADIANS('Background calcs'!$G319))+L$85</f>
        <v>-98689.308264390682</v>
      </c>
      <c r="M319" s="1"/>
      <c r="N319" s="1">
        <f>'Geometry Calculator'!N$11/2*COS(RADIANS('Background calcs'!$G319))+N$85</f>
        <v>-98689.308264390682</v>
      </c>
      <c r="O319" s="1"/>
      <c r="P319" s="1">
        <f>'Geometry Calculator'!P$11/2*COS(RADIANS('Background calcs'!$G319))+P$85</f>
        <v>-98760.217242452796</v>
      </c>
      <c r="Q319" s="1"/>
      <c r="R319" s="1">
        <f>'Geometry Calculator'!R$11/2*COS(RADIANS('Background calcs'!$G319))+R$85</f>
        <v>-98737.387760167563</v>
      </c>
      <c r="S319" s="1"/>
      <c r="T319" s="1">
        <f>'Geometry Calculator'!T$11/2*COS(RADIANS('Background calcs'!$G319))+T$85</f>
        <v>-98711.009568350433</v>
      </c>
      <c r="U319" s="1"/>
      <c r="V319" s="1">
        <f>'Geometry Calculator'!V$11/2*COS(RADIANS('Background calcs'!$G319))+V$85</f>
        <v>-98694.478018662063</v>
      </c>
      <c r="W319" s="1"/>
      <c r="X319" s="1">
        <f>'Geometry Calculator'!X$11/2*COS(RADIANS('Background calcs'!$G319))+X$85</f>
        <v>-98714.075118826746</v>
      </c>
      <c r="Y319" s="1"/>
      <c r="Z319" s="1">
        <f>'Geometry Calculator'!Z$11/2*COS(RADIANS('Background calcs'!$G319))+Z$85</f>
        <v>-98697.060288078632</v>
      </c>
      <c r="AB319" s="159"/>
      <c r="AC319" s="1"/>
      <c r="AD319" s="1"/>
    </row>
    <row r="320" spans="6:30" x14ac:dyDescent="0.25">
      <c r="F320" t="s">
        <v>206</v>
      </c>
      <c r="G320">
        <v>80</v>
      </c>
      <c r="H320" s="1">
        <f>'Geometry Calculator'!H$11/2*COS(RADIANS('Background calcs'!$G320))+H$85</f>
        <v>1293.3833570475383</v>
      </c>
      <c r="I320" s="1"/>
      <c r="J320" s="1">
        <f>'Geometry Calculator'!J$11/2*COS(RADIANS('Background calcs'!$G320))+J$85</f>
        <v>1329.2526745658024</v>
      </c>
      <c r="K320" s="1"/>
      <c r="L320" s="1">
        <f>'Geometry Calculator'!L$11/2*COS(RADIANS('Background calcs'!$G320))+L$85</f>
        <v>-98721.417681413892</v>
      </c>
      <c r="M320" s="1"/>
      <c r="N320" s="1">
        <f>'Geometry Calculator'!N$11/2*COS(RADIANS('Background calcs'!$G320))+N$85</f>
        <v>-98721.417681413892</v>
      </c>
      <c r="O320" s="1"/>
      <c r="P320" s="1">
        <f>'Geometry Calculator'!P$11/2*COS(RADIANS('Background calcs'!$G320))+P$85</f>
        <v>-98791.134267331916</v>
      </c>
      <c r="Q320" s="1"/>
      <c r="R320" s="1">
        <f>'Geometry Calculator'!R$11/2*COS(RADIANS('Background calcs'!$G320))+R$85</f>
        <v>-98769.284250022189</v>
      </c>
      <c r="S320" s="1"/>
      <c r="T320" s="1">
        <f>'Geometry Calculator'!T$11/2*COS(RADIANS('Background calcs'!$G320))+T$85</f>
        <v>-98742.693131036474</v>
      </c>
      <c r="U320" s="1"/>
      <c r="V320" s="1">
        <f>'Geometry Calculator'!V$11/2*COS(RADIANS('Background calcs'!$G320))+V$85</f>
        <v>-98726.161581348104</v>
      </c>
      <c r="W320" s="1"/>
      <c r="X320" s="1">
        <f>'Geometry Calculator'!X$11/2*COS(RADIANS('Background calcs'!$G320))+X$85</f>
        <v>-98746.652975620847</v>
      </c>
      <c r="Y320" s="1"/>
      <c r="Z320" s="1">
        <f>'Geometry Calculator'!Z$11/2*COS(RADIANS('Background calcs'!$G320))+Z$85</f>
        <v>-98729.638144872733</v>
      </c>
      <c r="AB320" s="159"/>
      <c r="AC320" s="1"/>
      <c r="AD320" s="1"/>
    </row>
    <row r="321" spans="6:30" x14ac:dyDescent="0.25">
      <c r="F321" t="s">
        <v>207</v>
      </c>
      <c r="G321">
        <v>85</v>
      </c>
      <c r="H321" s="1">
        <f>'Geometry Calculator'!H$11/2*COS(RADIANS('Background calcs'!$G321))+H$85</f>
        <v>1261.3811561274076</v>
      </c>
      <c r="I321" s="1"/>
      <c r="J321" s="1">
        <f>'Geometry Calculator'!J$11/2*COS(RADIANS('Background calcs'!$G321))+J$85</f>
        <v>1296.6450266012369</v>
      </c>
      <c r="K321" s="1"/>
      <c r="L321" s="1">
        <f>'Geometry Calculator'!L$11/2*COS(RADIANS('Background calcs'!$G321))+L$85</f>
        <v>-98754.025329378463</v>
      </c>
      <c r="M321" s="1"/>
      <c r="N321" s="1">
        <f>'Geometry Calculator'!N$11/2*COS(RADIANS('Background calcs'!$G321))+N$85</f>
        <v>-98754.025329378463</v>
      </c>
      <c r="O321" s="1"/>
      <c r="P321" s="1">
        <f>'Geometry Calculator'!P$11/2*COS(RADIANS('Background calcs'!$G321))+P$85</f>
        <v>-98822.531021207615</v>
      </c>
      <c r="Q321" s="1"/>
      <c r="R321" s="1">
        <f>'Geometry Calculator'!R$11/2*COS(RADIANS('Background calcs'!$G321))+R$85</f>
        <v>-98801.675666899449</v>
      </c>
      <c r="S321" s="1"/>
      <c r="T321" s="1">
        <f>'Geometry Calculator'!T$11/2*COS(RADIANS('Background calcs'!$G321))+T$85</f>
        <v>-98774.86831682644</v>
      </c>
      <c r="U321" s="1"/>
      <c r="V321" s="1">
        <f>'Geometry Calculator'!V$11/2*COS(RADIANS('Background calcs'!$G321))+V$85</f>
        <v>-98758.336767138069</v>
      </c>
      <c r="W321" s="1"/>
      <c r="X321" s="1">
        <f>'Geometry Calculator'!X$11/2*COS(RADIANS('Background calcs'!$G321))+X$85</f>
        <v>-98779.736331977474</v>
      </c>
      <c r="Y321" s="1"/>
      <c r="Z321" s="1">
        <f>'Geometry Calculator'!Z$11/2*COS(RADIANS('Background calcs'!$G321))+Z$85</f>
        <v>-98762.72150122936</v>
      </c>
      <c r="AB321" s="159"/>
      <c r="AC321" s="1"/>
      <c r="AD321" s="1"/>
    </row>
    <row r="322" spans="6:30" x14ac:dyDescent="0.25">
      <c r="F322" t="s">
        <v>132</v>
      </c>
      <c r="G322">
        <v>90</v>
      </c>
      <c r="H322" s="1">
        <f>'Geometry Calculator'!H$11/2*COS(RADIANS('Background calcs'!$G322))+H$85</f>
        <v>1229.1335313107741</v>
      </c>
      <c r="I322" s="1"/>
      <c r="J322" s="1">
        <f>'Geometry Calculator'!J$11/2*COS(RADIANS('Background calcs'!$G322))+J$85</f>
        <v>1263.7873115853697</v>
      </c>
      <c r="K322" s="1"/>
      <c r="L322" s="1">
        <f>'Geometry Calculator'!L$11/2*COS(RADIANS('Background calcs'!$G322))+L$85</f>
        <v>-98786.88304439433</v>
      </c>
      <c r="M322" s="1"/>
      <c r="N322" s="1">
        <f>'Geometry Calculator'!N$11/2*COS(RADIANS('Background calcs'!$G322))+N$85</f>
        <v>-98786.88304439433</v>
      </c>
      <c r="O322" s="1"/>
      <c r="P322" s="1">
        <f>'Geometry Calculator'!P$11/2*COS(RADIANS('Background calcs'!$G322))+P$85</f>
        <v>-98854.168555825017</v>
      </c>
      <c r="Q322" s="1"/>
      <c r="R322" s="1">
        <f>'Geometry Calculator'!R$11/2*COS(RADIANS('Background calcs'!$G322))+R$85</f>
        <v>-98834.315492558453</v>
      </c>
      <c r="S322" s="1"/>
      <c r="T322" s="1">
        <f>'Geometry Calculator'!T$11/2*COS(RADIANS('Background calcs'!$G322))+T$85</f>
        <v>-98807.290253128565</v>
      </c>
      <c r="U322" s="1"/>
      <c r="V322" s="1">
        <f>'Geometry Calculator'!V$11/2*COS(RADIANS('Background calcs'!$G322))+V$85</f>
        <v>-98790.758703440195</v>
      </c>
      <c r="W322" s="1"/>
      <c r="X322" s="1">
        <f>'Geometry Calculator'!X$11/2*COS(RADIANS('Background calcs'!$G322))+X$85</f>
        <v>-98813.073403578455</v>
      </c>
      <c r="Y322" s="1"/>
      <c r="Z322" s="1">
        <f>'Geometry Calculator'!Z$11/2*COS(RADIANS('Background calcs'!$G322))+Z$85</f>
        <v>-98796.058572830341</v>
      </c>
      <c r="AB322" s="159"/>
      <c r="AC322" s="1"/>
      <c r="AD322" s="1"/>
    </row>
    <row r="323" spans="6:30" x14ac:dyDescent="0.25">
      <c r="F323" t="s">
        <v>208</v>
      </c>
      <c r="G323">
        <v>95</v>
      </c>
      <c r="H323" s="1">
        <f>'Geometry Calculator'!H$11/2*COS(RADIANS('Background calcs'!$G323))+H$85</f>
        <v>1196.8859064941405</v>
      </c>
      <c r="I323" s="1"/>
      <c r="J323" s="1">
        <f>'Geometry Calculator'!J$11/2*COS(RADIANS('Background calcs'!$G323))+J$85</f>
        <v>1230.9295965695026</v>
      </c>
      <c r="K323" s="1"/>
      <c r="L323" s="1">
        <f>'Geometry Calculator'!L$11/2*COS(RADIANS('Background calcs'!$G323))+L$85</f>
        <v>-98819.740759410197</v>
      </c>
      <c r="M323" s="1"/>
      <c r="N323" s="1">
        <f>'Geometry Calculator'!N$11/2*COS(RADIANS('Background calcs'!$G323))+N$85</f>
        <v>-98819.740759410197</v>
      </c>
      <c r="O323" s="1"/>
      <c r="P323" s="1">
        <f>'Geometry Calculator'!P$11/2*COS(RADIANS('Background calcs'!$G323))+P$85</f>
        <v>-98885.80609044242</v>
      </c>
      <c r="Q323" s="1"/>
      <c r="R323" s="1">
        <f>'Geometry Calculator'!R$11/2*COS(RADIANS('Background calcs'!$G323))+R$85</f>
        <v>-98866.955318217457</v>
      </c>
      <c r="S323" s="1"/>
      <c r="T323" s="1">
        <f>'Geometry Calculator'!T$11/2*COS(RADIANS('Background calcs'!$G323))+T$85</f>
        <v>-98839.712189430691</v>
      </c>
      <c r="U323" s="1"/>
      <c r="V323" s="1">
        <f>'Geometry Calculator'!V$11/2*COS(RADIANS('Background calcs'!$G323))+V$85</f>
        <v>-98823.180639742321</v>
      </c>
      <c r="W323" s="1"/>
      <c r="X323" s="1">
        <f>'Geometry Calculator'!X$11/2*COS(RADIANS('Background calcs'!$G323))+X$85</f>
        <v>-98846.410475179437</v>
      </c>
      <c r="Y323" s="1"/>
      <c r="Z323" s="1">
        <f>'Geometry Calculator'!Z$11/2*COS(RADIANS('Background calcs'!$G323))+Z$85</f>
        <v>-98829.395644431323</v>
      </c>
      <c r="AB323" s="159"/>
      <c r="AC323" s="1"/>
      <c r="AD323" s="1"/>
    </row>
    <row r="324" spans="6:30" x14ac:dyDescent="0.25">
      <c r="F324" t="s">
        <v>209</v>
      </c>
      <c r="G324">
        <v>100</v>
      </c>
      <c r="H324" s="1">
        <f>'Geometry Calculator'!H$11/2*COS(RADIANS('Background calcs'!$G324))+H$85</f>
        <v>1164.8837055740098</v>
      </c>
      <c r="I324" s="1"/>
      <c r="J324" s="1">
        <f>'Geometry Calculator'!J$11/2*COS(RADIANS('Background calcs'!$G324))+J$85</f>
        <v>1198.321948604937</v>
      </c>
      <c r="K324" s="1"/>
      <c r="L324" s="1">
        <f>'Geometry Calculator'!L$11/2*COS(RADIANS('Background calcs'!$G324))+L$85</f>
        <v>-98852.348407374768</v>
      </c>
      <c r="M324" s="1"/>
      <c r="N324" s="1">
        <f>'Geometry Calculator'!N$11/2*COS(RADIANS('Background calcs'!$G324))+N$85</f>
        <v>-98852.348407374768</v>
      </c>
      <c r="O324" s="1"/>
      <c r="P324" s="1">
        <f>'Geometry Calculator'!P$11/2*COS(RADIANS('Background calcs'!$G324))+P$85</f>
        <v>-98917.202844318119</v>
      </c>
      <c r="Q324" s="1"/>
      <c r="R324" s="1">
        <f>'Geometry Calculator'!R$11/2*COS(RADIANS('Background calcs'!$G324))+R$85</f>
        <v>-98899.346735094718</v>
      </c>
      <c r="S324" s="1"/>
      <c r="T324" s="1">
        <f>'Geometry Calculator'!T$11/2*COS(RADIANS('Background calcs'!$G324))+T$85</f>
        <v>-98871.887375220656</v>
      </c>
      <c r="U324" s="1"/>
      <c r="V324" s="1">
        <f>'Geometry Calculator'!V$11/2*COS(RADIANS('Background calcs'!$G324))+V$85</f>
        <v>-98855.355825532286</v>
      </c>
      <c r="W324" s="1"/>
      <c r="X324" s="1">
        <f>'Geometry Calculator'!X$11/2*COS(RADIANS('Background calcs'!$G324))+X$85</f>
        <v>-98879.493831536063</v>
      </c>
      <c r="Y324" s="1"/>
      <c r="Z324" s="1">
        <f>'Geometry Calculator'!Z$11/2*COS(RADIANS('Background calcs'!$G324))+Z$85</f>
        <v>-98862.479000787949</v>
      </c>
      <c r="AB324" s="159"/>
      <c r="AC324" s="1"/>
      <c r="AD324" s="1"/>
    </row>
    <row r="325" spans="6:30" x14ac:dyDescent="0.25">
      <c r="F325" t="s">
        <v>133</v>
      </c>
      <c r="G325">
        <v>105</v>
      </c>
      <c r="H325" s="1">
        <f>'Geometry Calculator'!H$11/2*COS(RADIANS('Background calcs'!$G325))+H$85</f>
        <v>1133.3704846228413</v>
      </c>
      <c r="I325" s="1"/>
      <c r="J325" s="1">
        <f>'Geometry Calculator'!J$11/2*COS(RADIANS('Background calcs'!$G325))+J$85</f>
        <v>1166.2125315817193</v>
      </c>
      <c r="K325" s="1"/>
      <c r="L325" s="1">
        <f>'Geometry Calculator'!L$11/2*COS(RADIANS('Background calcs'!$G325))+L$85</f>
        <v>-98884.457824397978</v>
      </c>
      <c r="M325" s="1"/>
      <c r="N325" s="1">
        <f>'Geometry Calculator'!N$11/2*COS(RADIANS('Background calcs'!$G325))+N$85</f>
        <v>-98884.457824397978</v>
      </c>
      <c r="O325" s="1"/>
      <c r="P325" s="1">
        <f>'Geometry Calculator'!P$11/2*COS(RADIANS('Background calcs'!$G325))+P$85</f>
        <v>-98948.119869197239</v>
      </c>
      <c r="Q325" s="1"/>
      <c r="R325" s="1">
        <f>'Geometry Calculator'!R$11/2*COS(RADIANS('Background calcs'!$G325))+R$85</f>
        <v>-98931.243224949343</v>
      </c>
      <c r="S325" s="1"/>
      <c r="T325" s="1">
        <f>'Geometry Calculator'!T$11/2*COS(RADIANS('Background calcs'!$G325))+T$85</f>
        <v>-98903.570937906698</v>
      </c>
      <c r="U325" s="1"/>
      <c r="V325" s="1">
        <f>'Geometry Calculator'!V$11/2*COS(RADIANS('Background calcs'!$G325))+V$85</f>
        <v>-98887.039388218327</v>
      </c>
      <c r="W325" s="1"/>
      <c r="X325" s="1">
        <f>'Geometry Calculator'!X$11/2*COS(RADIANS('Background calcs'!$G325))+X$85</f>
        <v>-98912.071688330165</v>
      </c>
      <c r="Y325" s="1"/>
      <c r="Z325" s="1">
        <f>'Geometry Calculator'!Z$11/2*COS(RADIANS('Background calcs'!$G325))+Z$85</f>
        <v>-98895.056857582051</v>
      </c>
      <c r="AB325" s="159"/>
      <c r="AC325" s="1"/>
      <c r="AD325" s="1"/>
    </row>
    <row r="326" spans="6:30" x14ac:dyDescent="0.25">
      <c r="F326" t="s">
        <v>210</v>
      </c>
      <c r="G326">
        <v>110</v>
      </c>
      <c r="H326" s="1">
        <f>'Geometry Calculator'!H$11/2*COS(RADIANS('Background calcs'!$G326))+H$85</f>
        <v>1102.5860782802765</v>
      </c>
      <c r="I326" s="1"/>
      <c r="J326" s="1">
        <f>'Geometry Calculator'!J$11/2*COS(RADIANS('Background calcs'!$G326))+J$85</f>
        <v>1134.8457175515925</v>
      </c>
      <c r="K326" s="1"/>
      <c r="L326" s="1">
        <f>'Geometry Calculator'!L$11/2*COS(RADIANS('Background calcs'!$G326))+L$85</f>
        <v>-98915.824638428108</v>
      </c>
      <c r="M326" s="1"/>
      <c r="N326" s="1">
        <f>'Geometry Calculator'!N$11/2*COS(RADIANS('Background calcs'!$G326))+N$85</f>
        <v>-98915.824638428108</v>
      </c>
      <c r="O326" s="1"/>
      <c r="P326" s="1">
        <f>'Geometry Calculator'!P$11/2*COS(RADIANS('Background calcs'!$G326))+P$85</f>
        <v>-98978.321867852239</v>
      </c>
      <c r="Q326" s="1"/>
      <c r="R326" s="1">
        <f>'Geometry Calculator'!R$11/2*COS(RADIANS('Background calcs'!$G326))+R$85</f>
        <v>-98962.402036233922</v>
      </c>
      <c r="S326" s="1"/>
      <c r="T326" s="1">
        <f>'Geometry Calculator'!T$11/2*COS(RADIANS('Background calcs'!$G326))+T$85</f>
        <v>-98934.521746445709</v>
      </c>
      <c r="U326" s="1"/>
      <c r="V326" s="1">
        <f>'Geometry Calculator'!V$11/2*COS(RADIANS('Background calcs'!$G326))+V$85</f>
        <v>-98917.990196757339</v>
      </c>
      <c r="W326" s="1"/>
      <c r="X326" s="1">
        <f>'Geometry Calculator'!X$11/2*COS(RADIANS('Background calcs'!$G326))+X$85</f>
        <v>-98943.896108400528</v>
      </c>
      <c r="Y326" s="1"/>
      <c r="Z326" s="1">
        <f>'Geometry Calculator'!Z$11/2*COS(RADIANS('Background calcs'!$G326))+Z$85</f>
        <v>-98926.881277652414</v>
      </c>
      <c r="AB326" s="159"/>
      <c r="AC326" s="1"/>
      <c r="AD326" s="1"/>
    </row>
    <row r="327" spans="6:30" x14ac:dyDescent="0.25">
      <c r="F327" t="s">
        <v>211</v>
      </c>
      <c r="G327">
        <v>115</v>
      </c>
      <c r="H327" s="1">
        <f>'Geometry Calculator'!H$11/2*COS(RADIANS('Background calcs'!$G327))+H$85</f>
        <v>1072.7647744667154</v>
      </c>
      <c r="I327" s="1"/>
      <c r="J327" s="1">
        <f>'Geometry Calculator'!J$11/2*COS(RADIANS('Background calcs'!$G327))+J$85</f>
        <v>1104.460226909126</v>
      </c>
      <c r="K327" s="1"/>
      <c r="L327" s="1">
        <f>'Geometry Calculator'!L$11/2*COS(RADIANS('Background calcs'!$G327))+L$85</f>
        <v>-98946.210129070576</v>
      </c>
      <c r="M327" s="1"/>
      <c r="N327" s="1">
        <f>'Geometry Calculator'!N$11/2*COS(RADIANS('Background calcs'!$G327))+N$85</f>
        <v>-98946.210129070576</v>
      </c>
      <c r="O327" s="1"/>
      <c r="P327" s="1">
        <f>'Geometry Calculator'!P$11/2*COS(RADIANS('Background calcs'!$G327))+P$85</f>
        <v>-99007.578984836888</v>
      </c>
      <c r="Q327" s="1"/>
      <c r="R327" s="1">
        <f>'Geometry Calculator'!R$11/2*COS(RADIANS('Background calcs'!$G327))+R$85</f>
        <v>-98992.586031580344</v>
      </c>
      <c r="S327" s="1"/>
      <c r="T327" s="1">
        <f>'Geometry Calculator'!T$11/2*COS(RADIANS('Background calcs'!$G327))+T$85</f>
        <v>-98964.504246496101</v>
      </c>
      <c r="U327" s="1"/>
      <c r="V327" s="1">
        <f>'Geometry Calculator'!V$11/2*COS(RADIANS('Background calcs'!$G327))+V$85</f>
        <v>-98947.97269680773</v>
      </c>
      <c r="W327" s="1"/>
      <c r="X327" s="1">
        <f>'Geometry Calculator'!X$11/2*COS(RADIANS('Background calcs'!$G327))+X$85</f>
        <v>-98974.724888694269</v>
      </c>
      <c r="Y327" s="1"/>
      <c r="Z327" s="1">
        <f>'Geometry Calculator'!Z$11/2*COS(RADIANS('Background calcs'!$G327))+Z$85</f>
        <v>-98957.710057946155</v>
      </c>
      <c r="AB327" s="159"/>
      <c r="AC327" s="1"/>
      <c r="AD327" s="1"/>
    </row>
    <row r="328" spans="6:30" x14ac:dyDescent="0.25">
      <c r="F328" t="s">
        <v>134</v>
      </c>
      <c r="G328">
        <v>120</v>
      </c>
      <c r="H328" s="1">
        <f>'Geometry Calculator'!H$11/2*COS(RADIANS('Background calcs'!$G328))+H$85</f>
        <v>1044.1335313107741</v>
      </c>
      <c r="I328" s="1"/>
      <c r="J328" s="1">
        <f>'Geometry Calculator'!J$11/2*COS(RADIANS('Background calcs'!$G328))+J$85</f>
        <v>1075.2873115853697</v>
      </c>
      <c r="K328" s="1"/>
      <c r="L328" s="1">
        <f>'Geometry Calculator'!L$11/2*COS(RADIANS('Background calcs'!$G328))+L$85</f>
        <v>-98975.38304439433</v>
      </c>
      <c r="M328" s="1"/>
      <c r="N328" s="1">
        <f>'Geometry Calculator'!N$11/2*COS(RADIANS('Background calcs'!$G328))+N$85</f>
        <v>-98975.38304439433</v>
      </c>
      <c r="O328" s="1"/>
      <c r="P328" s="1">
        <f>'Geometry Calculator'!P$11/2*COS(RADIANS('Background calcs'!$G328))+P$85</f>
        <v>-99035.668555825017</v>
      </c>
      <c r="Q328" s="1"/>
      <c r="R328" s="1">
        <f>'Geometry Calculator'!R$11/2*COS(RADIANS('Background calcs'!$G328))+R$85</f>
        <v>-99021.565492558453</v>
      </c>
      <c r="S328" s="1"/>
      <c r="T328" s="1">
        <f>'Geometry Calculator'!T$11/2*COS(RADIANS('Background calcs'!$G328))+T$85</f>
        <v>-98993.290253128565</v>
      </c>
      <c r="U328" s="1"/>
      <c r="V328" s="1">
        <f>'Geometry Calculator'!V$11/2*COS(RADIANS('Background calcs'!$G328))+V$85</f>
        <v>-98976.758703440195</v>
      </c>
      <c r="W328" s="1"/>
      <c r="X328" s="1">
        <f>'Geometry Calculator'!X$11/2*COS(RADIANS('Background calcs'!$G328))+X$85</f>
        <v>-99004.323403578455</v>
      </c>
      <c r="Y328" s="1"/>
      <c r="Z328" s="1">
        <f>'Geometry Calculator'!Z$11/2*COS(RADIANS('Background calcs'!$G328))+Z$85</f>
        <v>-98987.308572830341</v>
      </c>
      <c r="AB328" s="159"/>
      <c r="AC328" s="1"/>
      <c r="AD328" s="1"/>
    </row>
    <row r="329" spans="6:30" x14ac:dyDescent="0.25">
      <c r="F329" t="s">
        <v>212</v>
      </c>
      <c r="G329">
        <v>125</v>
      </c>
      <c r="H329" s="1">
        <f>'Geometry Calculator'!H$11/2*COS(RADIANS('Background calcs'!$G329))+H$85</f>
        <v>1016.910249860887</v>
      </c>
      <c r="I329" s="1"/>
      <c r="J329" s="1">
        <f>'Geometry Calculator'!J$11/2*COS(RADIANS('Background calcs'!$G329))+J$85</f>
        <v>1047.5489950810254</v>
      </c>
      <c r="K329" s="1"/>
      <c r="L329" s="1">
        <f>'Geometry Calculator'!L$11/2*COS(RADIANS('Background calcs'!$G329))+L$85</f>
        <v>-99003.121360898673</v>
      </c>
      <c r="M329" s="1"/>
      <c r="N329" s="1">
        <f>'Geometry Calculator'!N$11/2*COS(RADIANS('Background calcs'!$G329))+N$85</f>
        <v>-99003.121360898673</v>
      </c>
      <c r="O329" s="1"/>
      <c r="P329" s="1">
        <f>'Geometry Calculator'!P$11/2*COS(RADIANS('Background calcs'!$G329))+P$85</f>
        <v>-99062.376802220446</v>
      </c>
      <c r="Q329" s="1"/>
      <c r="R329" s="1">
        <f>'Geometry Calculator'!R$11/2*COS(RADIANS('Background calcs'!$G329))+R$85</f>
        <v>-99049.119867971924</v>
      </c>
      <c r="S329" s="1"/>
      <c r="T329" s="1">
        <f>'Geometry Calculator'!T$11/2*COS(RADIANS('Background calcs'!$G329))+T$85</f>
        <v>-99020.660687451149</v>
      </c>
      <c r="U329" s="1"/>
      <c r="V329" s="1">
        <f>'Geometry Calculator'!V$11/2*COS(RADIANS('Background calcs'!$G329))+V$85</f>
        <v>-99004.129137762779</v>
      </c>
      <c r="W329" s="1"/>
      <c r="X329" s="1">
        <f>'Geometry Calculator'!X$11/2*COS(RADIANS('Background calcs'!$G329))+X$85</f>
        <v>-99032.466390482732</v>
      </c>
      <c r="Y329" s="1"/>
      <c r="Z329" s="1">
        <f>'Geometry Calculator'!Z$11/2*COS(RADIANS('Background calcs'!$G329))+Z$85</f>
        <v>-99015.451559734618</v>
      </c>
      <c r="AB329" s="159"/>
      <c r="AC329" s="1"/>
      <c r="AD329" s="1"/>
    </row>
    <row r="330" spans="6:30" x14ac:dyDescent="0.25">
      <c r="F330" t="s">
        <v>213</v>
      </c>
      <c r="G330">
        <v>130</v>
      </c>
      <c r="H330" s="1">
        <f>'Geometry Calculator'!H$11/2*COS(RADIANS('Background calcs'!$G330))+H$85</f>
        <v>991.30211572675444</v>
      </c>
      <c r="I330" s="1"/>
      <c r="J330" s="1">
        <f>'Geometry Calculator'!J$11/2*COS(RADIANS('Background calcs'!$G330))+J$85</f>
        <v>1021.4563827335444</v>
      </c>
      <c r="K330" s="1"/>
      <c r="L330" s="1">
        <f>'Geometry Calculator'!L$11/2*COS(RADIANS('Background calcs'!$G330))+L$85</f>
        <v>-99029.213973246151</v>
      </c>
      <c r="M330" s="1"/>
      <c r="N330" s="1">
        <f>'Geometry Calculator'!N$11/2*COS(RADIANS('Background calcs'!$G330))+N$85</f>
        <v>-99029.213973246151</v>
      </c>
      <c r="O330" s="1"/>
      <c r="P330" s="1">
        <f>'Geometry Calculator'!P$11/2*COS(RADIANS('Background calcs'!$G330))+P$85</f>
        <v>-99087.500458141236</v>
      </c>
      <c r="Q330" s="1"/>
      <c r="R330" s="1">
        <f>'Geometry Calculator'!R$11/2*COS(RADIANS('Background calcs'!$G330))+R$85</f>
        <v>-99075.03945238606</v>
      </c>
      <c r="S330" s="1"/>
      <c r="T330" s="1">
        <f>'Geometry Calculator'!T$11/2*COS(RADIANS('Background calcs'!$G330))+T$85</f>
        <v>-99046.407243931957</v>
      </c>
      <c r="U330" s="1"/>
      <c r="V330" s="1">
        <f>'Geometry Calculator'!V$11/2*COS(RADIANS('Background calcs'!$G330))+V$85</f>
        <v>-99029.875694243587</v>
      </c>
      <c r="W330" s="1"/>
      <c r="X330" s="1">
        <f>'Geometry Calculator'!X$11/2*COS(RADIANS('Background calcs'!$G330))+X$85</f>
        <v>-99058.939664283564</v>
      </c>
      <c r="Y330" s="1"/>
      <c r="Z330" s="1">
        <f>'Geometry Calculator'!Z$11/2*COS(RADIANS('Background calcs'!$G330))+Z$85</f>
        <v>-99041.92483353545</v>
      </c>
      <c r="AB330" s="159"/>
      <c r="AC330" s="1"/>
      <c r="AD330" s="1"/>
    </row>
    <row r="331" spans="6:30" x14ac:dyDescent="0.25">
      <c r="F331" t="s">
        <v>135</v>
      </c>
      <c r="G331">
        <v>135</v>
      </c>
      <c r="H331" s="1">
        <f>'Geometry Calculator'!H$11/2*COS(RADIANS('Background calcs'!$G331))+H$85</f>
        <v>967.50402227175152</v>
      </c>
      <c r="I331" s="1"/>
      <c r="J331" s="1">
        <f>'Geometry Calculator'!J$11/2*COS(RADIANS('Background calcs'!$G331))+J$85</f>
        <v>997.2080550780413</v>
      </c>
      <c r="K331" s="1"/>
      <c r="L331" s="1">
        <f>'Geometry Calculator'!L$11/2*COS(RADIANS('Background calcs'!$G331))+L$85</f>
        <v>-99053.462300901665</v>
      </c>
      <c r="M331" s="1"/>
      <c r="N331" s="1">
        <f>'Geometry Calculator'!N$11/2*COS(RADIANS('Background calcs'!$G331))+N$85</f>
        <v>-99053.462300901665</v>
      </c>
      <c r="O331" s="1"/>
      <c r="P331" s="1">
        <f>'Geometry Calculator'!P$11/2*COS(RADIANS('Background calcs'!$G331))+P$85</f>
        <v>-99110.848317395736</v>
      </c>
      <c r="Q331" s="1"/>
      <c r="R331" s="1">
        <f>'Geometry Calculator'!R$11/2*COS(RADIANS('Background calcs'!$G331))+R$85</f>
        <v>-99099.126982112808</v>
      </c>
      <c r="S331" s="1"/>
      <c r="T331" s="1">
        <f>'Geometry Calculator'!T$11/2*COS(RADIANS('Background calcs'!$G331))+T$85</f>
        <v>-99070.333975729955</v>
      </c>
      <c r="U331" s="1"/>
      <c r="V331" s="1">
        <f>'Geometry Calculator'!V$11/2*COS(RADIANS('Background calcs'!$G331))+V$85</f>
        <v>-99053.802426041584</v>
      </c>
      <c r="W331" s="1"/>
      <c r="X331" s="1">
        <f>'Geometry Calculator'!X$11/2*COS(RADIANS('Background calcs'!$G331))+X$85</f>
        <v>-99083.541747382304</v>
      </c>
      <c r="Y331" s="1"/>
      <c r="Z331" s="1">
        <f>'Geometry Calculator'!Z$11/2*COS(RADIANS('Background calcs'!$G331))+Z$85</f>
        <v>-99066.52691663419</v>
      </c>
      <c r="AB331" s="159"/>
      <c r="AC331" s="1"/>
      <c r="AD331" s="1"/>
    </row>
    <row r="332" spans="6:30" x14ac:dyDescent="0.25">
      <c r="F332" t="s">
        <v>214</v>
      </c>
      <c r="G332">
        <v>140</v>
      </c>
      <c r="H332" s="1">
        <f>'Geometry Calculator'!H$11/2*COS(RADIANS('Background calcs'!$G332))+H$85</f>
        <v>945.69708735675226</v>
      </c>
      <c r="I332" s="1"/>
      <c r="J332" s="1">
        <f>'Geometry Calculator'!J$11/2*COS(RADIANS('Background calcs'!$G332))+J$85</f>
        <v>974.98855652951511</v>
      </c>
      <c r="K332" s="1"/>
      <c r="L332" s="1">
        <f>'Geometry Calculator'!L$11/2*COS(RADIANS('Background calcs'!$G332))+L$85</f>
        <v>-99075.681799450191</v>
      </c>
      <c r="M332" s="1"/>
      <c r="N332" s="1">
        <f>'Geometry Calculator'!N$11/2*COS(RADIANS('Background calcs'!$G332))+N$85</f>
        <v>-99075.681799450191</v>
      </c>
      <c r="O332" s="1"/>
      <c r="P332" s="1">
        <f>'Geometry Calculator'!P$11/2*COS(RADIANS('Background calcs'!$G332))+P$85</f>
        <v>-99132.242688677201</v>
      </c>
      <c r="Q332" s="1"/>
      <c r="R332" s="1">
        <f>'Geometry Calculator'!R$11/2*COS(RADIANS('Background calcs'!$G332))+R$85</f>
        <v>-99121.199136506504</v>
      </c>
      <c r="S332" s="1"/>
      <c r="T332" s="1">
        <f>'Geometry Calculator'!T$11/2*COS(RADIANS('Background calcs'!$G332))+T$85</f>
        <v>-99092.258785968821</v>
      </c>
      <c r="U332" s="1"/>
      <c r="V332" s="1">
        <f>'Geometry Calculator'!V$11/2*COS(RADIANS('Background calcs'!$G332))+V$85</f>
        <v>-99075.727236280451</v>
      </c>
      <c r="W332" s="1"/>
      <c r="X332" s="1">
        <f>'Geometry Calculator'!X$11/2*COS(RADIANS('Background calcs'!$G332))+X$85</f>
        <v>-99106.085403071469</v>
      </c>
      <c r="Y332" s="1"/>
      <c r="Z332" s="1">
        <f>'Geometry Calculator'!Z$11/2*COS(RADIANS('Background calcs'!$G332))+Z$85</f>
        <v>-99089.070572323355</v>
      </c>
      <c r="AB332" s="159"/>
      <c r="AC332" s="1"/>
      <c r="AD332" s="1"/>
    </row>
    <row r="333" spans="6:30" x14ac:dyDescent="0.25">
      <c r="F333" t="s">
        <v>215</v>
      </c>
      <c r="G333">
        <v>145</v>
      </c>
      <c r="H333" s="1">
        <f>'Geometry Calculator'!H$11/2*COS(RADIANS('Background calcs'!$G333))+H$85</f>
        <v>926.047274923847</v>
      </c>
      <c r="I333" s="1"/>
      <c r="J333" s="1">
        <f>'Geometry Calculator'!J$11/2*COS(RADIANS('Background calcs'!$G333))+J$85</f>
        <v>954.96699088841979</v>
      </c>
      <c r="K333" s="1"/>
      <c r="L333" s="1">
        <f>'Geometry Calculator'!L$11/2*COS(RADIANS('Background calcs'!$G333))+L$85</f>
        <v>-99095.703365091278</v>
      </c>
      <c r="M333" s="1"/>
      <c r="N333" s="1">
        <f>'Geometry Calculator'!N$11/2*COS(RADIANS('Background calcs'!$G333))+N$85</f>
        <v>-99095.703365091278</v>
      </c>
      <c r="O333" s="1"/>
      <c r="P333" s="1">
        <f>'Geometry Calculator'!P$11/2*COS(RADIANS('Background calcs'!$G333))+P$85</f>
        <v>-99151.520747901915</v>
      </c>
      <c r="Q333" s="1"/>
      <c r="R333" s="1">
        <f>'Geometry Calculator'!R$11/2*COS(RADIANS('Background calcs'!$G333))+R$85</f>
        <v>-99141.087933144678</v>
      </c>
      <c r="S333" s="1"/>
      <c r="T333" s="1">
        <f>'Geometry Calculator'!T$11/2*COS(RADIANS('Background calcs'!$G333))+T$85</f>
        <v>-99112.014813604066</v>
      </c>
      <c r="U333" s="1"/>
      <c r="V333" s="1">
        <f>'Geometry Calculator'!V$11/2*COS(RADIANS('Background calcs'!$G333))+V$85</f>
        <v>-99095.483263915696</v>
      </c>
      <c r="W333" s="1"/>
      <c r="X333" s="1">
        <f>'Geometry Calculator'!X$11/2*COS(RADIANS('Background calcs'!$G333))+X$85</f>
        <v>-99126.39906051899</v>
      </c>
      <c r="Y333" s="1"/>
      <c r="Z333" s="1">
        <f>'Geometry Calculator'!Z$11/2*COS(RADIANS('Background calcs'!$G333))+Z$85</f>
        <v>-99109.384229770876</v>
      </c>
      <c r="AB333" s="159"/>
      <c r="AC333" s="1"/>
      <c r="AD333" s="1"/>
    </row>
    <row r="334" spans="6:30" x14ac:dyDescent="0.25">
      <c r="F334" t="s">
        <v>136</v>
      </c>
      <c r="G334">
        <v>150</v>
      </c>
      <c r="H334" s="1">
        <f>'Geometry Calculator'!H$11/2*COS(RADIANS('Background calcs'!$G334))+H$85</f>
        <v>908.70413191053171</v>
      </c>
      <c r="I334" s="1"/>
      <c r="J334" s="1">
        <f>'Geometry Calculator'!J$11/2*COS(RADIANS('Background calcs'!$G334))+J$85</f>
        <v>937.29573435863631</v>
      </c>
      <c r="K334" s="1"/>
      <c r="L334" s="1">
        <f>'Geometry Calculator'!L$11/2*COS(RADIANS('Background calcs'!$G334))+L$85</f>
        <v>-99113.374621621057</v>
      </c>
      <c r="M334" s="1"/>
      <c r="N334" s="1">
        <f>'Geometry Calculator'!N$11/2*COS(RADIANS('Background calcs'!$G334))+N$85</f>
        <v>-99113.374621621057</v>
      </c>
      <c r="O334" s="1"/>
      <c r="P334" s="1">
        <f>'Geometry Calculator'!P$11/2*COS(RADIANS('Background calcs'!$G334))+P$85</f>
        <v>-99168.535777398763</v>
      </c>
      <c r="Q334" s="1"/>
      <c r="R334" s="1">
        <f>'Geometry Calculator'!R$11/2*COS(RADIANS('Background calcs'!$G334))+R$85</f>
        <v>-99158.642006275724</v>
      </c>
      <c r="S334" s="1"/>
      <c r="T334" s="1">
        <f>'Geometry Calculator'!T$11/2*COS(RADIANS('Background calcs'!$G334))+T$85</f>
        <v>-99129.451703336381</v>
      </c>
      <c r="U334" s="1"/>
      <c r="V334" s="1">
        <f>'Geometry Calculator'!V$11/2*COS(RADIANS('Background calcs'!$G334))+V$85</f>
        <v>-99112.92015364801</v>
      </c>
      <c r="W334" s="1"/>
      <c r="X334" s="1">
        <f>'Geometry Calculator'!X$11/2*COS(RADIANS('Background calcs'!$G334))+X$85</f>
        <v>-99144.328120525999</v>
      </c>
      <c r="Y334" s="1"/>
      <c r="Z334" s="1">
        <f>'Geometry Calculator'!Z$11/2*COS(RADIANS('Background calcs'!$G334))+Z$85</f>
        <v>-99127.313289777885</v>
      </c>
      <c r="AB334" s="159"/>
      <c r="AC334" s="1"/>
      <c r="AD334" s="1"/>
    </row>
    <row r="335" spans="6:30" x14ac:dyDescent="0.25">
      <c r="F335" t="s">
        <v>216</v>
      </c>
      <c r="G335">
        <v>155</v>
      </c>
      <c r="H335" s="1">
        <f>'Geometry Calculator'!H$11/2*COS(RADIANS('Background calcs'!$G335))+H$85</f>
        <v>893.79965010721367</v>
      </c>
      <c r="I335" s="1"/>
      <c r="J335" s="1">
        <f>'Geometry Calculator'!J$11/2*COS(RADIANS('Background calcs'!$G335))+J$85</f>
        <v>922.10927587255264</v>
      </c>
      <c r="K335" s="1"/>
      <c r="L335" s="1">
        <f>'Geometry Calculator'!L$11/2*COS(RADIANS('Background calcs'!$G335))+L$85</f>
        <v>-99128.561080107145</v>
      </c>
      <c r="M335" s="1"/>
      <c r="N335" s="1">
        <f>'Geometry Calculator'!N$11/2*COS(RADIANS('Background calcs'!$G335))+N$85</f>
        <v>-99128.561080107145</v>
      </c>
      <c r="O335" s="1"/>
      <c r="P335" s="1">
        <f>'Geometry Calculator'!P$11/2*COS(RADIANS('Background calcs'!$G335))+P$85</f>
        <v>-99183.158282519318</v>
      </c>
      <c r="Q335" s="1"/>
      <c r="R335" s="1">
        <f>'Geometry Calculator'!R$11/2*COS(RADIANS('Background calcs'!$G335))+R$85</f>
        <v>-99173.727758803681</v>
      </c>
      <c r="S335" s="1"/>
      <c r="T335" s="1">
        <f>'Geometry Calculator'!T$11/2*COS(RADIANS('Background calcs'!$G335))+T$85</f>
        <v>-99144.436749906206</v>
      </c>
      <c r="U335" s="1"/>
      <c r="V335" s="1">
        <f>'Geometry Calculator'!V$11/2*COS(RADIANS('Background calcs'!$G335))+V$85</f>
        <v>-99127.905200217836</v>
      </c>
      <c r="W335" s="1"/>
      <c r="X335" s="1">
        <f>'Geometry Calculator'!X$11/2*COS(RADIANS('Background calcs'!$G335))+X$85</f>
        <v>-99159.736132119971</v>
      </c>
      <c r="Y335" s="1"/>
      <c r="Z335" s="1">
        <f>'Geometry Calculator'!Z$11/2*COS(RADIANS('Background calcs'!$G335))+Z$85</f>
        <v>-99142.721301371857</v>
      </c>
      <c r="AB335" s="159"/>
      <c r="AC335" s="1"/>
      <c r="AD335" s="1"/>
    </row>
    <row r="336" spans="6:30" x14ac:dyDescent="0.25">
      <c r="F336" t="s">
        <v>217</v>
      </c>
      <c r="G336">
        <v>160</v>
      </c>
      <c r="H336" s="1">
        <f>'Geometry Calculator'!H$11/2*COS(RADIANS('Background calcs'!$G336))+H$85</f>
        <v>881.44726161998801</v>
      </c>
      <c r="I336" s="1"/>
      <c r="J336" s="1">
        <f>'Geometry Calculator'!J$11/2*COS(RADIANS('Background calcs'!$G336))+J$85</f>
        <v>909.52319354908229</v>
      </c>
      <c r="K336" s="1"/>
      <c r="L336" s="1">
        <f>'Geometry Calculator'!L$11/2*COS(RADIANS('Background calcs'!$G336))+L$85</f>
        <v>-99141.147162430614</v>
      </c>
      <c r="M336" s="1"/>
      <c r="N336" s="1">
        <f>'Geometry Calculator'!N$11/2*COS(RADIANS('Background calcs'!$G336))+N$85</f>
        <v>-99141.147162430614</v>
      </c>
      <c r="O336" s="1"/>
      <c r="P336" s="1">
        <f>'Geometry Calculator'!P$11/2*COS(RADIANS('Background calcs'!$G336))+P$85</f>
        <v>-99195.276977170302</v>
      </c>
      <c r="Q336" s="1"/>
      <c r="R336" s="1">
        <f>'Geometry Calculator'!R$11/2*COS(RADIANS('Background calcs'!$G336))+R$85</f>
        <v>-99186.230379042769</v>
      </c>
      <c r="S336" s="1"/>
      <c r="T336" s="1">
        <f>'Geometry Calculator'!T$11/2*COS(RADIANS('Background calcs'!$G336))+T$85</f>
        <v>-99156.855908060927</v>
      </c>
      <c r="U336" s="1"/>
      <c r="V336" s="1">
        <f>'Geometry Calculator'!V$11/2*COS(RADIANS('Background calcs'!$G336))+V$85</f>
        <v>-99140.324358372556</v>
      </c>
      <c r="W336" s="1"/>
      <c r="X336" s="1">
        <f>'Geometry Calculator'!X$11/2*COS(RADIANS('Background calcs'!$G336))+X$85</f>
        <v>-99172.505831029062</v>
      </c>
      <c r="Y336" s="1"/>
      <c r="Z336" s="1">
        <f>'Geometry Calculator'!Z$11/2*COS(RADIANS('Background calcs'!$G336))+Z$85</f>
        <v>-99155.491000280948</v>
      </c>
      <c r="AB336" s="159"/>
      <c r="AC336" s="1"/>
      <c r="AD336" s="1"/>
    </row>
    <row r="337" spans="6:30" x14ac:dyDescent="0.25">
      <c r="F337" t="s">
        <v>137</v>
      </c>
      <c r="G337">
        <v>165</v>
      </c>
      <c r="H337" s="1">
        <f>'Geometry Calculator'!H$11/2*COS(RADIANS('Background calcs'!$G337))+H$85</f>
        <v>871.74097558381891</v>
      </c>
      <c r="I337" s="1"/>
      <c r="J337" s="1">
        <f>'Geometry Calculator'!J$11/2*COS(RADIANS('Background calcs'!$G337))+J$85</f>
        <v>899.63327507439101</v>
      </c>
      <c r="K337" s="1"/>
      <c r="L337" s="1">
        <f>'Geometry Calculator'!L$11/2*COS(RADIANS('Background calcs'!$G337))+L$85</f>
        <v>-99151.037080905313</v>
      </c>
      <c r="M337" s="1"/>
      <c r="N337" s="1">
        <f>'Geometry Calculator'!N$11/2*COS(RADIANS('Background calcs'!$G337))+N$85</f>
        <v>-99151.037080905313</v>
      </c>
      <c r="O337" s="1"/>
      <c r="P337" s="1">
        <f>'Geometry Calculator'!P$11/2*COS(RADIANS('Background calcs'!$G337))+P$85</f>
        <v>-99204.799630767942</v>
      </c>
      <c r="Q337" s="1"/>
      <c r="R337" s="1">
        <f>'Geometry Calculator'!R$11/2*COS(RADIANS('Background calcs'!$G337))+R$85</f>
        <v>-99196.054714503713</v>
      </c>
      <c r="S337" s="1"/>
      <c r="T337" s="1">
        <f>'Geometry Calculator'!T$11/2*COS(RADIANS('Background calcs'!$G337))+T$85</f>
        <v>-99166.614660508101</v>
      </c>
      <c r="U337" s="1"/>
      <c r="V337" s="1">
        <f>'Geometry Calculator'!V$11/2*COS(RADIANS('Background calcs'!$G337))+V$85</f>
        <v>-99150.083110819731</v>
      </c>
      <c r="W337" s="1"/>
      <c r="X337" s="1">
        <f>'Geometry Calculator'!X$11/2*COS(RADIANS('Background calcs'!$G337))+X$85</f>
        <v>-99182.540032134028</v>
      </c>
      <c r="Y337" s="1"/>
      <c r="Z337" s="1">
        <f>'Geometry Calculator'!Z$11/2*COS(RADIANS('Background calcs'!$G337))+Z$85</f>
        <v>-99165.525201385914</v>
      </c>
      <c r="AB337" s="159"/>
      <c r="AC337" s="1"/>
      <c r="AD337" s="1"/>
    </row>
    <row r="338" spans="6:30" x14ac:dyDescent="0.25">
      <c r="F338" t="s">
        <v>218</v>
      </c>
      <c r="G338">
        <v>170</v>
      </c>
      <c r="H338" s="1">
        <f>'Geometry Calculator'!H$11/2*COS(RADIANS('Background calcs'!$G338))+H$85</f>
        <v>864.75466269625713</v>
      </c>
      <c r="I338" s="1"/>
      <c r="J338" s="1">
        <f>'Geometry Calculator'!J$11/2*COS(RADIANS('Background calcs'!$G338))+J$85</f>
        <v>892.51478869976722</v>
      </c>
      <c r="K338" s="1"/>
      <c r="L338" s="1">
        <f>'Geometry Calculator'!L$11/2*COS(RADIANS('Background calcs'!$G338))+L$85</f>
        <v>-99158.15556727993</v>
      </c>
      <c r="M338" s="1"/>
      <c r="N338" s="1">
        <f>'Geometry Calculator'!N$11/2*COS(RADIANS('Background calcs'!$G338))+N$85</f>
        <v>-99158.15556727993</v>
      </c>
      <c r="O338" s="1"/>
      <c r="P338" s="1">
        <f>'Geometry Calculator'!P$11/2*COS(RADIANS('Background calcs'!$G338))+P$85</f>
        <v>-99211.653770168443</v>
      </c>
      <c r="Q338" s="1"/>
      <c r="R338" s="1">
        <f>'Geometry Calculator'!R$11/2*COS(RADIANS('Background calcs'!$G338))+R$85</f>
        <v>-99203.125996061528</v>
      </c>
      <c r="S338" s="1"/>
      <c r="T338" s="1">
        <f>'Geometry Calculator'!T$11/2*COS(RADIANS('Background calcs'!$G338))+T$85</f>
        <v>-99173.638737249101</v>
      </c>
      <c r="U338" s="1"/>
      <c r="V338" s="1">
        <f>'Geometry Calculator'!V$11/2*COS(RADIANS('Background calcs'!$G338))+V$85</f>
        <v>-99157.10718756073</v>
      </c>
      <c r="W338" s="1"/>
      <c r="X338" s="1">
        <f>'Geometry Calculator'!X$11/2*COS(RADIANS('Background calcs'!$G338))+X$85</f>
        <v>-99189.762369105621</v>
      </c>
      <c r="Y338" s="1"/>
      <c r="Z338" s="1">
        <f>'Geometry Calculator'!Z$11/2*COS(RADIANS('Background calcs'!$G338))+Z$85</f>
        <v>-99172.747538357507</v>
      </c>
      <c r="AB338" s="159"/>
      <c r="AC338" s="1"/>
      <c r="AD338" s="1"/>
    </row>
    <row r="339" spans="6:30" x14ac:dyDescent="0.25">
      <c r="F339" t="s">
        <v>219</v>
      </c>
      <c r="G339">
        <v>175</v>
      </c>
      <c r="H339" s="1">
        <f>'Geometry Calculator'!H$11/2*COS(RADIANS('Background calcs'!$G339))+H$85</f>
        <v>860.54149301682821</v>
      </c>
      <c r="I339" s="1"/>
      <c r="J339" s="1">
        <f>'Geometry Calculator'!J$11/2*COS(RADIANS('Background calcs'!$G339))+J$85</f>
        <v>888.22191040478162</v>
      </c>
      <c r="K339" s="1"/>
      <c r="L339" s="1">
        <f>'Geometry Calculator'!L$11/2*COS(RADIANS('Background calcs'!$G339))+L$85</f>
        <v>-99162.448445574919</v>
      </c>
      <c r="M339" s="1"/>
      <c r="N339" s="1">
        <f>'Geometry Calculator'!N$11/2*COS(RADIANS('Background calcs'!$G339))+N$85</f>
        <v>-99162.448445574919</v>
      </c>
      <c r="O339" s="1"/>
      <c r="P339" s="1">
        <f>'Geometry Calculator'!P$11/2*COS(RADIANS('Background calcs'!$G339))+P$85</f>
        <v>-99215.787231232316</v>
      </c>
      <c r="Q339" s="1"/>
      <c r="R339" s="1">
        <f>'Geometry Calculator'!R$11/2*COS(RADIANS('Background calcs'!$G339))+R$85</f>
        <v>-99207.390406993814</v>
      </c>
      <c r="S339" s="1"/>
      <c r="T339" s="1">
        <f>'Geometry Calculator'!T$11/2*COS(RADIANS('Background calcs'!$G339))+T$85</f>
        <v>-99177.874680818699</v>
      </c>
      <c r="U339" s="1"/>
      <c r="V339" s="1">
        <f>'Geometry Calculator'!V$11/2*COS(RADIANS('Background calcs'!$G339))+V$85</f>
        <v>-99161.343131130328</v>
      </c>
      <c r="W339" s="1"/>
      <c r="X339" s="1">
        <f>'Geometry Calculator'!X$11/2*COS(RADIANS('Background calcs'!$G339))+X$85</f>
        <v>-99194.117875598546</v>
      </c>
      <c r="Y339" s="1"/>
      <c r="Z339" s="1">
        <f>'Geometry Calculator'!Z$11/2*COS(RADIANS('Background calcs'!$G339))+Z$85</f>
        <v>-99177.103044850432</v>
      </c>
      <c r="AB339" s="159"/>
      <c r="AC339" s="1"/>
      <c r="AD339" s="1"/>
    </row>
    <row r="340" spans="6:30" x14ac:dyDescent="0.25">
      <c r="F340" t="s">
        <v>138</v>
      </c>
      <c r="G340">
        <v>180</v>
      </c>
      <c r="H340" s="1">
        <f>'Geometry Calculator'!H$11/2*COS(RADIANS('Background calcs'!$G340))+H$85</f>
        <v>859.13353131077406</v>
      </c>
      <c r="I340" s="1"/>
      <c r="J340" s="1">
        <f>'Geometry Calculator'!J$11/2*COS(RADIANS('Background calcs'!$G340))+J$85</f>
        <v>886.78731158536971</v>
      </c>
      <c r="K340" s="1"/>
      <c r="L340" s="1">
        <f>'Geometry Calculator'!L$11/2*COS(RADIANS('Background calcs'!$G340))+L$85</f>
        <v>-99163.88304439433</v>
      </c>
      <c r="M340" s="1"/>
      <c r="N340" s="1">
        <f>'Geometry Calculator'!N$11/2*COS(RADIANS('Background calcs'!$G340))+N$85</f>
        <v>-99163.88304439433</v>
      </c>
      <c r="O340" s="1"/>
      <c r="P340" s="1">
        <f>'Geometry Calculator'!P$11/2*COS(RADIANS('Background calcs'!$G340))+P$85</f>
        <v>-99217.168555825017</v>
      </c>
      <c r="Q340" s="1"/>
      <c r="R340" s="1">
        <f>'Geometry Calculator'!R$11/2*COS(RADIANS('Background calcs'!$G340))+R$85</f>
        <v>-99208.815492558453</v>
      </c>
      <c r="S340" s="1"/>
      <c r="T340" s="1">
        <f>'Geometry Calculator'!T$11/2*COS(RADIANS('Background calcs'!$G340))+T$85</f>
        <v>-99179.290253128565</v>
      </c>
      <c r="U340" s="1"/>
      <c r="V340" s="1">
        <f>'Geometry Calculator'!V$11/2*COS(RADIANS('Background calcs'!$G340))+V$85</f>
        <v>-99162.758703440195</v>
      </c>
      <c r="W340" s="1"/>
      <c r="X340" s="1">
        <f>'Geometry Calculator'!X$11/2*COS(RADIANS('Background calcs'!$G340))+X$85</f>
        <v>-99195.573403578455</v>
      </c>
      <c r="Y340" s="1"/>
      <c r="Z340" s="1">
        <f>'Geometry Calculator'!Z$11/2*COS(RADIANS('Background calcs'!$G340))+Z$85</f>
        <v>-99178.558572830341</v>
      </c>
      <c r="AB340" s="159"/>
      <c r="AC340" s="1"/>
      <c r="AD340" s="1"/>
    </row>
    <row r="341" spans="6:30" x14ac:dyDescent="0.25">
      <c r="F341" t="s">
        <v>220</v>
      </c>
      <c r="G341">
        <v>185</v>
      </c>
      <c r="H341" s="1">
        <f>'Geometry Calculator'!H$11/2*COS(RADIANS('Background calcs'!$G341))+H$85</f>
        <v>860.54149301682821</v>
      </c>
      <c r="I341" s="1"/>
      <c r="J341" s="1">
        <f>'Geometry Calculator'!J$11/2*COS(RADIANS('Background calcs'!$G341))+J$85</f>
        <v>888.22191040478162</v>
      </c>
      <c r="K341" s="1"/>
      <c r="L341" s="1">
        <f>'Geometry Calculator'!L$11/2*COS(RADIANS('Background calcs'!$G341))+L$85</f>
        <v>-99162.448445574919</v>
      </c>
      <c r="M341" s="1"/>
      <c r="N341" s="1">
        <f>'Geometry Calculator'!N$11/2*COS(RADIANS('Background calcs'!$G341))+N$85</f>
        <v>-99162.448445574919</v>
      </c>
      <c r="O341" s="1"/>
      <c r="P341" s="1">
        <f>'Geometry Calculator'!P$11/2*COS(RADIANS('Background calcs'!$G341))+P$85</f>
        <v>-99215.787231232316</v>
      </c>
      <c r="Q341" s="1"/>
      <c r="R341" s="1">
        <f>'Geometry Calculator'!R$11/2*COS(RADIANS('Background calcs'!$G341))+R$85</f>
        <v>-99207.390406993814</v>
      </c>
      <c r="S341" s="1"/>
      <c r="T341" s="1">
        <f>'Geometry Calculator'!T$11/2*COS(RADIANS('Background calcs'!$G341))+T$85</f>
        <v>-99177.874680818699</v>
      </c>
      <c r="U341" s="1"/>
      <c r="V341" s="1">
        <f>'Geometry Calculator'!V$11/2*COS(RADIANS('Background calcs'!$G341))+V$85</f>
        <v>-99161.343131130328</v>
      </c>
      <c r="W341" s="1"/>
      <c r="X341" s="1">
        <f>'Geometry Calculator'!X$11/2*COS(RADIANS('Background calcs'!$G341))+X$85</f>
        <v>-99194.117875598546</v>
      </c>
      <c r="Y341" s="1"/>
      <c r="Z341" s="1">
        <f>'Geometry Calculator'!Z$11/2*COS(RADIANS('Background calcs'!$G341))+Z$85</f>
        <v>-99177.103044850432</v>
      </c>
      <c r="AB341" s="159"/>
      <c r="AC341" s="1"/>
      <c r="AD341" s="1"/>
    </row>
    <row r="342" spans="6:30" x14ac:dyDescent="0.25">
      <c r="F342" t="s">
        <v>221</v>
      </c>
      <c r="G342">
        <v>190</v>
      </c>
      <c r="H342" s="1">
        <f>'Geometry Calculator'!H$11/2*COS(RADIANS('Background calcs'!$G342))+H$85</f>
        <v>864.75466269625713</v>
      </c>
      <c r="I342" s="1"/>
      <c r="J342" s="1">
        <f>'Geometry Calculator'!J$11/2*COS(RADIANS('Background calcs'!$G342))+J$85</f>
        <v>892.51478869976722</v>
      </c>
      <c r="K342" s="1"/>
      <c r="L342" s="1">
        <f>'Geometry Calculator'!L$11/2*COS(RADIANS('Background calcs'!$G342))+L$85</f>
        <v>-99158.15556727993</v>
      </c>
      <c r="M342" s="1"/>
      <c r="N342" s="1">
        <f>'Geometry Calculator'!N$11/2*COS(RADIANS('Background calcs'!$G342))+N$85</f>
        <v>-99158.15556727993</v>
      </c>
      <c r="O342" s="1"/>
      <c r="P342" s="1">
        <f>'Geometry Calculator'!P$11/2*COS(RADIANS('Background calcs'!$G342))+P$85</f>
        <v>-99211.653770168443</v>
      </c>
      <c r="Q342" s="1"/>
      <c r="R342" s="1">
        <f>'Geometry Calculator'!R$11/2*COS(RADIANS('Background calcs'!$G342))+R$85</f>
        <v>-99203.125996061528</v>
      </c>
      <c r="S342" s="1"/>
      <c r="T342" s="1">
        <f>'Geometry Calculator'!T$11/2*COS(RADIANS('Background calcs'!$G342))+T$85</f>
        <v>-99173.638737249101</v>
      </c>
      <c r="U342" s="1"/>
      <c r="V342" s="1">
        <f>'Geometry Calculator'!V$11/2*COS(RADIANS('Background calcs'!$G342))+V$85</f>
        <v>-99157.10718756073</v>
      </c>
      <c r="W342" s="1"/>
      <c r="X342" s="1">
        <f>'Geometry Calculator'!X$11/2*COS(RADIANS('Background calcs'!$G342))+X$85</f>
        <v>-99189.762369105621</v>
      </c>
      <c r="Y342" s="1"/>
      <c r="Z342" s="1">
        <f>'Geometry Calculator'!Z$11/2*COS(RADIANS('Background calcs'!$G342))+Z$85</f>
        <v>-99172.747538357507</v>
      </c>
      <c r="AB342" s="159"/>
      <c r="AC342" s="1"/>
      <c r="AD342" s="1"/>
    </row>
    <row r="343" spans="6:30" x14ac:dyDescent="0.25">
      <c r="F343" t="s">
        <v>139</v>
      </c>
      <c r="G343">
        <v>195</v>
      </c>
      <c r="H343" s="1">
        <f>'Geometry Calculator'!H$11/2*COS(RADIANS('Background calcs'!$G343))+H$85</f>
        <v>871.74097558381879</v>
      </c>
      <c r="I343" s="1"/>
      <c r="J343" s="1">
        <f>'Geometry Calculator'!J$11/2*COS(RADIANS('Background calcs'!$G343))+J$85</f>
        <v>899.63327507439089</v>
      </c>
      <c r="K343" s="1"/>
      <c r="L343" s="1">
        <f>'Geometry Calculator'!L$11/2*COS(RADIANS('Background calcs'!$G343))+L$85</f>
        <v>-99151.037080905313</v>
      </c>
      <c r="M343" s="1"/>
      <c r="N343" s="1">
        <f>'Geometry Calculator'!N$11/2*COS(RADIANS('Background calcs'!$G343))+N$85</f>
        <v>-99151.037080905313</v>
      </c>
      <c r="O343" s="1"/>
      <c r="P343" s="1">
        <f>'Geometry Calculator'!P$11/2*COS(RADIANS('Background calcs'!$G343))+P$85</f>
        <v>-99204.799630767942</v>
      </c>
      <c r="Q343" s="1"/>
      <c r="R343" s="1">
        <f>'Geometry Calculator'!R$11/2*COS(RADIANS('Background calcs'!$G343))+R$85</f>
        <v>-99196.054714503713</v>
      </c>
      <c r="S343" s="1"/>
      <c r="T343" s="1">
        <f>'Geometry Calculator'!T$11/2*COS(RADIANS('Background calcs'!$G343))+T$85</f>
        <v>-99166.614660508101</v>
      </c>
      <c r="U343" s="1"/>
      <c r="V343" s="1">
        <f>'Geometry Calculator'!V$11/2*COS(RADIANS('Background calcs'!$G343))+V$85</f>
        <v>-99150.083110819731</v>
      </c>
      <c r="W343" s="1"/>
      <c r="X343" s="1">
        <f>'Geometry Calculator'!X$11/2*COS(RADIANS('Background calcs'!$G343))+X$85</f>
        <v>-99182.540032134028</v>
      </c>
      <c r="Y343" s="1"/>
      <c r="Z343" s="1">
        <f>'Geometry Calculator'!Z$11/2*COS(RADIANS('Background calcs'!$G343))+Z$85</f>
        <v>-99165.525201385914</v>
      </c>
      <c r="AB343" s="159"/>
      <c r="AC343" s="1"/>
      <c r="AD343" s="1"/>
    </row>
    <row r="344" spans="6:30" x14ac:dyDescent="0.25">
      <c r="F344" t="s">
        <v>222</v>
      </c>
      <c r="G344">
        <v>200</v>
      </c>
      <c r="H344" s="1">
        <f>'Geometry Calculator'!H$11/2*COS(RADIANS('Background calcs'!$G344))+H$85</f>
        <v>881.44726161998801</v>
      </c>
      <c r="I344" s="1"/>
      <c r="J344" s="1">
        <f>'Geometry Calculator'!J$11/2*COS(RADIANS('Background calcs'!$G344))+J$85</f>
        <v>909.52319354908218</v>
      </c>
      <c r="K344" s="1"/>
      <c r="L344" s="1">
        <f>'Geometry Calculator'!L$11/2*COS(RADIANS('Background calcs'!$G344))+L$85</f>
        <v>-99141.147162430614</v>
      </c>
      <c r="M344" s="1"/>
      <c r="N344" s="1">
        <f>'Geometry Calculator'!N$11/2*COS(RADIANS('Background calcs'!$G344))+N$85</f>
        <v>-99141.147162430614</v>
      </c>
      <c r="O344" s="1"/>
      <c r="P344" s="1">
        <f>'Geometry Calculator'!P$11/2*COS(RADIANS('Background calcs'!$G344))+P$85</f>
        <v>-99195.276977170302</v>
      </c>
      <c r="Q344" s="1"/>
      <c r="R344" s="1">
        <f>'Geometry Calculator'!R$11/2*COS(RADIANS('Background calcs'!$G344))+R$85</f>
        <v>-99186.230379042769</v>
      </c>
      <c r="S344" s="1"/>
      <c r="T344" s="1">
        <f>'Geometry Calculator'!T$11/2*COS(RADIANS('Background calcs'!$G344))+T$85</f>
        <v>-99156.855908060927</v>
      </c>
      <c r="U344" s="1"/>
      <c r="V344" s="1">
        <f>'Geometry Calculator'!V$11/2*COS(RADIANS('Background calcs'!$G344))+V$85</f>
        <v>-99140.324358372556</v>
      </c>
      <c r="W344" s="1"/>
      <c r="X344" s="1">
        <f>'Geometry Calculator'!X$11/2*COS(RADIANS('Background calcs'!$G344))+X$85</f>
        <v>-99172.505831029062</v>
      </c>
      <c r="Y344" s="1"/>
      <c r="Z344" s="1">
        <f>'Geometry Calculator'!Z$11/2*COS(RADIANS('Background calcs'!$G344))+Z$85</f>
        <v>-99155.491000280948</v>
      </c>
      <c r="AB344" s="159"/>
      <c r="AC344" s="1"/>
      <c r="AD344" s="1"/>
    </row>
    <row r="345" spans="6:30" x14ac:dyDescent="0.25">
      <c r="F345" t="s">
        <v>223</v>
      </c>
      <c r="G345">
        <v>205</v>
      </c>
      <c r="H345" s="1">
        <f>'Geometry Calculator'!H$11/2*COS(RADIANS('Background calcs'!$G345))+H$85</f>
        <v>893.79965010721355</v>
      </c>
      <c r="I345" s="1"/>
      <c r="J345" s="1">
        <f>'Geometry Calculator'!J$11/2*COS(RADIANS('Background calcs'!$G345))+J$85</f>
        <v>922.10927587255264</v>
      </c>
      <c r="K345" s="1"/>
      <c r="L345" s="1">
        <f>'Geometry Calculator'!L$11/2*COS(RADIANS('Background calcs'!$G345))+L$85</f>
        <v>-99128.561080107145</v>
      </c>
      <c r="M345" s="1"/>
      <c r="N345" s="1">
        <f>'Geometry Calculator'!N$11/2*COS(RADIANS('Background calcs'!$G345))+N$85</f>
        <v>-99128.561080107145</v>
      </c>
      <c r="O345" s="1"/>
      <c r="P345" s="1">
        <f>'Geometry Calculator'!P$11/2*COS(RADIANS('Background calcs'!$G345))+P$85</f>
        <v>-99183.158282519318</v>
      </c>
      <c r="Q345" s="1"/>
      <c r="R345" s="1">
        <f>'Geometry Calculator'!R$11/2*COS(RADIANS('Background calcs'!$G345))+R$85</f>
        <v>-99173.727758803681</v>
      </c>
      <c r="S345" s="1"/>
      <c r="T345" s="1">
        <f>'Geometry Calculator'!T$11/2*COS(RADIANS('Background calcs'!$G345))+T$85</f>
        <v>-99144.436749906206</v>
      </c>
      <c r="U345" s="1"/>
      <c r="V345" s="1">
        <f>'Geometry Calculator'!V$11/2*COS(RADIANS('Background calcs'!$G345))+V$85</f>
        <v>-99127.905200217836</v>
      </c>
      <c r="W345" s="1"/>
      <c r="X345" s="1">
        <f>'Geometry Calculator'!X$11/2*COS(RADIANS('Background calcs'!$G345))+X$85</f>
        <v>-99159.736132119971</v>
      </c>
      <c r="Y345" s="1"/>
      <c r="Z345" s="1">
        <f>'Geometry Calculator'!Z$11/2*COS(RADIANS('Background calcs'!$G345))+Z$85</f>
        <v>-99142.721301371857</v>
      </c>
      <c r="AB345" s="159"/>
      <c r="AC345" s="1"/>
      <c r="AD345" s="1"/>
    </row>
    <row r="346" spans="6:30" x14ac:dyDescent="0.25">
      <c r="F346" t="s">
        <v>140</v>
      </c>
      <c r="G346">
        <v>210</v>
      </c>
      <c r="H346" s="1">
        <f>'Geometry Calculator'!H$11/2*COS(RADIANS('Background calcs'!$G346))+H$85</f>
        <v>908.70413191053171</v>
      </c>
      <c r="I346" s="1"/>
      <c r="J346" s="1">
        <f>'Geometry Calculator'!J$11/2*COS(RADIANS('Background calcs'!$G346))+J$85</f>
        <v>937.29573435863631</v>
      </c>
      <c r="K346" s="1"/>
      <c r="L346" s="1">
        <f>'Geometry Calculator'!L$11/2*COS(RADIANS('Background calcs'!$G346))+L$85</f>
        <v>-99113.374621621057</v>
      </c>
      <c r="M346" s="1"/>
      <c r="N346" s="1">
        <f>'Geometry Calculator'!N$11/2*COS(RADIANS('Background calcs'!$G346))+N$85</f>
        <v>-99113.374621621057</v>
      </c>
      <c r="O346" s="1"/>
      <c r="P346" s="1">
        <f>'Geometry Calculator'!P$11/2*COS(RADIANS('Background calcs'!$G346))+P$85</f>
        <v>-99168.535777398763</v>
      </c>
      <c r="Q346" s="1"/>
      <c r="R346" s="1">
        <f>'Geometry Calculator'!R$11/2*COS(RADIANS('Background calcs'!$G346))+R$85</f>
        <v>-99158.642006275724</v>
      </c>
      <c r="S346" s="1"/>
      <c r="T346" s="1">
        <f>'Geometry Calculator'!T$11/2*COS(RADIANS('Background calcs'!$G346))+T$85</f>
        <v>-99129.451703336381</v>
      </c>
      <c r="U346" s="1"/>
      <c r="V346" s="1">
        <f>'Geometry Calculator'!V$11/2*COS(RADIANS('Background calcs'!$G346))+V$85</f>
        <v>-99112.92015364801</v>
      </c>
      <c r="W346" s="1"/>
      <c r="X346" s="1">
        <f>'Geometry Calculator'!X$11/2*COS(RADIANS('Background calcs'!$G346))+X$85</f>
        <v>-99144.328120525999</v>
      </c>
      <c r="Y346" s="1"/>
      <c r="Z346" s="1">
        <f>'Geometry Calculator'!Z$11/2*COS(RADIANS('Background calcs'!$G346))+Z$85</f>
        <v>-99127.313289777885</v>
      </c>
      <c r="AB346" s="159"/>
      <c r="AC346" s="1"/>
      <c r="AD346" s="1"/>
    </row>
    <row r="347" spans="6:30" x14ac:dyDescent="0.25">
      <c r="F347" t="s">
        <v>224</v>
      </c>
      <c r="G347">
        <v>215</v>
      </c>
      <c r="H347" s="1">
        <f>'Geometry Calculator'!H$11/2*COS(RADIANS('Background calcs'!$G347))+H$85</f>
        <v>926.04727492384711</v>
      </c>
      <c r="I347" s="1"/>
      <c r="J347" s="1">
        <f>'Geometry Calculator'!J$11/2*COS(RADIANS('Background calcs'!$G347))+J$85</f>
        <v>954.96699088841979</v>
      </c>
      <c r="K347" s="1"/>
      <c r="L347" s="1">
        <f>'Geometry Calculator'!L$11/2*COS(RADIANS('Background calcs'!$G347))+L$85</f>
        <v>-99095.703365091278</v>
      </c>
      <c r="M347" s="1"/>
      <c r="N347" s="1">
        <f>'Geometry Calculator'!N$11/2*COS(RADIANS('Background calcs'!$G347))+N$85</f>
        <v>-99095.703365091278</v>
      </c>
      <c r="O347" s="1"/>
      <c r="P347" s="1">
        <f>'Geometry Calculator'!P$11/2*COS(RADIANS('Background calcs'!$G347))+P$85</f>
        <v>-99151.520747901915</v>
      </c>
      <c r="Q347" s="1"/>
      <c r="R347" s="1">
        <f>'Geometry Calculator'!R$11/2*COS(RADIANS('Background calcs'!$G347))+R$85</f>
        <v>-99141.087933144678</v>
      </c>
      <c r="S347" s="1"/>
      <c r="T347" s="1">
        <f>'Geometry Calculator'!T$11/2*COS(RADIANS('Background calcs'!$G347))+T$85</f>
        <v>-99112.014813604066</v>
      </c>
      <c r="U347" s="1"/>
      <c r="V347" s="1">
        <f>'Geometry Calculator'!V$11/2*COS(RADIANS('Background calcs'!$G347))+V$85</f>
        <v>-99095.483263915696</v>
      </c>
      <c r="W347" s="1"/>
      <c r="X347" s="1">
        <f>'Geometry Calculator'!X$11/2*COS(RADIANS('Background calcs'!$G347))+X$85</f>
        <v>-99126.39906051899</v>
      </c>
      <c r="Y347" s="1"/>
      <c r="Z347" s="1">
        <f>'Geometry Calculator'!Z$11/2*COS(RADIANS('Background calcs'!$G347))+Z$85</f>
        <v>-99109.384229770876</v>
      </c>
      <c r="AB347" s="159"/>
      <c r="AC347" s="1"/>
      <c r="AD347" s="1"/>
    </row>
    <row r="348" spans="6:30" x14ac:dyDescent="0.25">
      <c r="F348" t="s">
        <v>225</v>
      </c>
      <c r="G348">
        <v>220</v>
      </c>
      <c r="H348" s="1">
        <f>'Geometry Calculator'!H$11/2*COS(RADIANS('Background calcs'!$G348))+H$85</f>
        <v>945.69708735675226</v>
      </c>
      <c r="I348" s="1"/>
      <c r="J348" s="1">
        <f>'Geometry Calculator'!J$11/2*COS(RADIANS('Background calcs'!$G348))+J$85</f>
        <v>974.98855652951499</v>
      </c>
      <c r="K348" s="1"/>
      <c r="L348" s="1">
        <f>'Geometry Calculator'!L$11/2*COS(RADIANS('Background calcs'!$G348))+L$85</f>
        <v>-99075.681799450191</v>
      </c>
      <c r="M348" s="1"/>
      <c r="N348" s="1">
        <f>'Geometry Calculator'!N$11/2*COS(RADIANS('Background calcs'!$G348))+N$85</f>
        <v>-99075.681799450191</v>
      </c>
      <c r="O348" s="1"/>
      <c r="P348" s="1">
        <f>'Geometry Calculator'!P$11/2*COS(RADIANS('Background calcs'!$G348))+P$85</f>
        <v>-99132.242688677201</v>
      </c>
      <c r="Q348" s="1"/>
      <c r="R348" s="1">
        <f>'Geometry Calculator'!R$11/2*COS(RADIANS('Background calcs'!$G348))+R$85</f>
        <v>-99121.199136506504</v>
      </c>
      <c r="S348" s="1"/>
      <c r="T348" s="1">
        <f>'Geometry Calculator'!T$11/2*COS(RADIANS('Background calcs'!$G348))+T$85</f>
        <v>-99092.258785968821</v>
      </c>
      <c r="U348" s="1"/>
      <c r="V348" s="1">
        <f>'Geometry Calculator'!V$11/2*COS(RADIANS('Background calcs'!$G348))+V$85</f>
        <v>-99075.727236280451</v>
      </c>
      <c r="W348" s="1"/>
      <c r="X348" s="1">
        <f>'Geometry Calculator'!X$11/2*COS(RADIANS('Background calcs'!$G348))+X$85</f>
        <v>-99106.085403071469</v>
      </c>
      <c r="Y348" s="1"/>
      <c r="Z348" s="1">
        <f>'Geometry Calculator'!Z$11/2*COS(RADIANS('Background calcs'!$G348))+Z$85</f>
        <v>-99089.070572323355</v>
      </c>
      <c r="AB348" s="159"/>
      <c r="AC348" s="1"/>
      <c r="AD348" s="1"/>
    </row>
    <row r="349" spans="6:30" x14ac:dyDescent="0.25">
      <c r="F349" t="s">
        <v>141</v>
      </c>
      <c r="G349">
        <v>225</v>
      </c>
      <c r="H349" s="1">
        <f>'Geometry Calculator'!H$11/2*COS(RADIANS('Background calcs'!$G349))+H$85</f>
        <v>967.50402227175141</v>
      </c>
      <c r="I349" s="1"/>
      <c r="J349" s="1">
        <f>'Geometry Calculator'!J$11/2*COS(RADIANS('Background calcs'!$G349))+J$85</f>
        <v>997.2080550780413</v>
      </c>
      <c r="K349" s="1"/>
      <c r="L349" s="1">
        <f>'Geometry Calculator'!L$11/2*COS(RADIANS('Background calcs'!$G349))+L$85</f>
        <v>-99053.462300901665</v>
      </c>
      <c r="M349" s="1"/>
      <c r="N349" s="1">
        <f>'Geometry Calculator'!N$11/2*COS(RADIANS('Background calcs'!$G349))+N$85</f>
        <v>-99053.462300901665</v>
      </c>
      <c r="O349" s="1"/>
      <c r="P349" s="1">
        <f>'Geometry Calculator'!P$11/2*COS(RADIANS('Background calcs'!$G349))+P$85</f>
        <v>-99110.848317395736</v>
      </c>
      <c r="Q349" s="1"/>
      <c r="R349" s="1">
        <f>'Geometry Calculator'!R$11/2*COS(RADIANS('Background calcs'!$G349))+R$85</f>
        <v>-99099.126982112808</v>
      </c>
      <c r="S349" s="1"/>
      <c r="T349" s="1">
        <f>'Geometry Calculator'!T$11/2*COS(RADIANS('Background calcs'!$G349))+T$85</f>
        <v>-99070.333975729955</v>
      </c>
      <c r="U349" s="1"/>
      <c r="V349" s="1">
        <f>'Geometry Calculator'!V$11/2*COS(RADIANS('Background calcs'!$G349))+V$85</f>
        <v>-99053.802426041584</v>
      </c>
      <c r="W349" s="1"/>
      <c r="X349" s="1">
        <f>'Geometry Calculator'!X$11/2*COS(RADIANS('Background calcs'!$G349))+X$85</f>
        <v>-99083.541747382304</v>
      </c>
      <c r="Y349" s="1"/>
      <c r="Z349" s="1">
        <f>'Geometry Calculator'!Z$11/2*COS(RADIANS('Background calcs'!$G349))+Z$85</f>
        <v>-99066.52691663419</v>
      </c>
      <c r="AB349" s="159"/>
      <c r="AC349" s="1"/>
      <c r="AD349" s="1"/>
    </row>
    <row r="350" spans="6:30" x14ac:dyDescent="0.25">
      <c r="F350" t="s">
        <v>226</v>
      </c>
      <c r="G350">
        <v>230</v>
      </c>
      <c r="H350" s="1">
        <f>'Geometry Calculator'!H$11/2*COS(RADIANS('Background calcs'!$G350))+H$85</f>
        <v>991.30211572675444</v>
      </c>
      <c r="I350" s="1"/>
      <c r="J350" s="1">
        <f>'Geometry Calculator'!J$11/2*COS(RADIANS('Background calcs'!$G350))+J$85</f>
        <v>1021.4563827335444</v>
      </c>
      <c r="K350" s="1"/>
      <c r="L350" s="1">
        <f>'Geometry Calculator'!L$11/2*COS(RADIANS('Background calcs'!$G350))+L$85</f>
        <v>-99029.213973246151</v>
      </c>
      <c r="M350" s="1"/>
      <c r="N350" s="1">
        <f>'Geometry Calculator'!N$11/2*COS(RADIANS('Background calcs'!$G350))+N$85</f>
        <v>-99029.213973246151</v>
      </c>
      <c r="O350" s="1"/>
      <c r="P350" s="1">
        <f>'Geometry Calculator'!P$11/2*COS(RADIANS('Background calcs'!$G350))+P$85</f>
        <v>-99087.500458141236</v>
      </c>
      <c r="Q350" s="1"/>
      <c r="R350" s="1">
        <f>'Geometry Calculator'!R$11/2*COS(RADIANS('Background calcs'!$G350))+R$85</f>
        <v>-99075.03945238606</v>
      </c>
      <c r="S350" s="1"/>
      <c r="T350" s="1">
        <f>'Geometry Calculator'!T$11/2*COS(RADIANS('Background calcs'!$G350))+T$85</f>
        <v>-99046.407243931957</v>
      </c>
      <c r="U350" s="1"/>
      <c r="V350" s="1">
        <f>'Geometry Calculator'!V$11/2*COS(RADIANS('Background calcs'!$G350))+V$85</f>
        <v>-99029.875694243587</v>
      </c>
      <c r="W350" s="1"/>
      <c r="X350" s="1">
        <f>'Geometry Calculator'!X$11/2*COS(RADIANS('Background calcs'!$G350))+X$85</f>
        <v>-99058.939664283564</v>
      </c>
      <c r="Y350" s="1"/>
      <c r="Z350" s="1">
        <f>'Geometry Calculator'!Z$11/2*COS(RADIANS('Background calcs'!$G350))+Z$85</f>
        <v>-99041.92483353545</v>
      </c>
      <c r="AB350" s="159"/>
      <c r="AC350" s="1"/>
      <c r="AD350" s="1"/>
    </row>
    <row r="351" spans="6:30" x14ac:dyDescent="0.25">
      <c r="F351" t="s">
        <v>227</v>
      </c>
      <c r="G351">
        <v>235</v>
      </c>
      <c r="H351" s="1">
        <f>'Geometry Calculator'!H$11/2*COS(RADIANS('Background calcs'!$G351))+H$85</f>
        <v>1016.9102498608869</v>
      </c>
      <c r="I351" s="1"/>
      <c r="J351" s="1">
        <f>'Geometry Calculator'!J$11/2*COS(RADIANS('Background calcs'!$G351))+J$85</f>
        <v>1047.5489950810252</v>
      </c>
      <c r="K351" s="1"/>
      <c r="L351" s="1">
        <f>'Geometry Calculator'!L$11/2*COS(RADIANS('Background calcs'!$G351))+L$85</f>
        <v>-99003.121360898673</v>
      </c>
      <c r="M351" s="1"/>
      <c r="N351" s="1">
        <f>'Geometry Calculator'!N$11/2*COS(RADIANS('Background calcs'!$G351))+N$85</f>
        <v>-99003.121360898673</v>
      </c>
      <c r="O351" s="1"/>
      <c r="P351" s="1">
        <f>'Geometry Calculator'!P$11/2*COS(RADIANS('Background calcs'!$G351))+P$85</f>
        <v>-99062.376802220446</v>
      </c>
      <c r="Q351" s="1"/>
      <c r="R351" s="1">
        <f>'Geometry Calculator'!R$11/2*COS(RADIANS('Background calcs'!$G351))+R$85</f>
        <v>-99049.119867971924</v>
      </c>
      <c r="S351" s="1"/>
      <c r="T351" s="1">
        <f>'Geometry Calculator'!T$11/2*COS(RADIANS('Background calcs'!$G351))+T$85</f>
        <v>-99020.660687451149</v>
      </c>
      <c r="U351" s="1"/>
      <c r="V351" s="1">
        <f>'Geometry Calculator'!V$11/2*COS(RADIANS('Background calcs'!$G351))+V$85</f>
        <v>-99004.129137762779</v>
      </c>
      <c r="W351" s="1"/>
      <c r="X351" s="1">
        <f>'Geometry Calculator'!X$11/2*COS(RADIANS('Background calcs'!$G351))+X$85</f>
        <v>-99032.466390482732</v>
      </c>
      <c r="Y351" s="1"/>
      <c r="Z351" s="1">
        <f>'Geometry Calculator'!Z$11/2*COS(RADIANS('Background calcs'!$G351))+Z$85</f>
        <v>-99015.451559734618</v>
      </c>
      <c r="AB351" s="159"/>
      <c r="AC351" s="1"/>
      <c r="AD351" s="1"/>
    </row>
    <row r="352" spans="6:30" x14ac:dyDescent="0.25">
      <c r="F352" t="s">
        <v>142</v>
      </c>
      <c r="G352">
        <v>240</v>
      </c>
      <c r="H352" s="1">
        <f>'Geometry Calculator'!H$11/2*COS(RADIANS('Background calcs'!$G352))+H$85</f>
        <v>1044.1335313107738</v>
      </c>
      <c r="I352" s="1"/>
      <c r="J352" s="1">
        <f>'Geometry Calculator'!J$11/2*COS(RADIANS('Background calcs'!$G352))+J$85</f>
        <v>1075.2873115853695</v>
      </c>
      <c r="K352" s="1"/>
      <c r="L352" s="1">
        <f>'Geometry Calculator'!L$11/2*COS(RADIANS('Background calcs'!$G352))+L$85</f>
        <v>-98975.38304439433</v>
      </c>
      <c r="M352" s="1"/>
      <c r="N352" s="1">
        <f>'Geometry Calculator'!N$11/2*COS(RADIANS('Background calcs'!$G352))+N$85</f>
        <v>-98975.38304439433</v>
      </c>
      <c r="O352" s="1"/>
      <c r="P352" s="1">
        <f>'Geometry Calculator'!P$11/2*COS(RADIANS('Background calcs'!$G352))+P$85</f>
        <v>-99035.668555825017</v>
      </c>
      <c r="Q352" s="1"/>
      <c r="R352" s="1">
        <f>'Geometry Calculator'!R$11/2*COS(RADIANS('Background calcs'!$G352))+R$85</f>
        <v>-99021.565492558453</v>
      </c>
      <c r="S352" s="1"/>
      <c r="T352" s="1">
        <f>'Geometry Calculator'!T$11/2*COS(RADIANS('Background calcs'!$G352))+T$85</f>
        <v>-98993.290253128565</v>
      </c>
      <c r="U352" s="1"/>
      <c r="V352" s="1">
        <f>'Geometry Calculator'!V$11/2*COS(RADIANS('Background calcs'!$G352))+V$85</f>
        <v>-98976.758703440195</v>
      </c>
      <c r="W352" s="1"/>
      <c r="X352" s="1">
        <f>'Geometry Calculator'!X$11/2*COS(RADIANS('Background calcs'!$G352))+X$85</f>
        <v>-99004.323403578455</v>
      </c>
      <c r="Y352" s="1"/>
      <c r="Z352" s="1">
        <f>'Geometry Calculator'!Z$11/2*COS(RADIANS('Background calcs'!$G352))+Z$85</f>
        <v>-98987.308572830341</v>
      </c>
      <c r="AB352" s="159"/>
      <c r="AC352" s="1"/>
      <c r="AD352" s="1"/>
    </row>
    <row r="353" spans="6:30" x14ac:dyDescent="0.25">
      <c r="F353" t="s">
        <v>228</v>
      </c>
      <c r="G353">
        <v>245</v>
      </c>
      <c r="H353" s="1">
        <f>'Geometry Calculator'!H$11/2*COS(RADIANS('Background calcs'!$G353))+H$85</f>
        <v>1072.7647744667154</v>
      </c>
      <c r="I353" s="1"/>
      <c r="J353" s="1">
        <f>'Geometry Calculator'!J$11/2*COS(RADIANS('Background calcs'!$G353))+J$85</f>
        <v>1104.460226909126</v>
      </c>
      <c r="K353" s="1"/>
      <c r="L353" s="1">
        <f>'Geometry Calculator'!L$11/2*COS(RADIANS('Background calcs'!$G353))+L$85</f>
        <v>-98946.210129070576</v>
      </c>
      <c r="M353" s="1"/>
      <c r="N353" s="1">
        <f>'Geometry Calculator'!N$11/2*COS(RADIANS('Background calcs'!$G353))+N$85</f>
        <v>-98946.210129070576</v>
      </c>
      <c r="O353" s="1"/>
      <c r="P353" s="1">
        <f>'Geometry Calculator'!P$11/2*COS(RADIANS('Background calcs'!$G353))+P$85</f>
        <v>-99007.578984836888</v>
      </c>
      <c r="Q353" s="1"/>
      <c r="R353" s="1">
        <f>'Geometry Calculator'!R$11/2*COS(RADIANS('Background calcs'!$G353))+R$85</f>
        <v>-98992.586031580344</v>
      </c>
      <c r="S353" s="1"/>
      <c r="T353" s="1">
        <f>'Geometry Calculator'!T$11/2*COS(RADIANS('Background calcs'!$G353))+T$85</f>
        <v>-98964.504246496101</v>
      </c>
      <c r="U353" s="1"/>
      <c r="V353" s="1">
        <f>'Geometry Calculator'!V$11/2*COS(RADIANS('Background calcs'!$G353))+V$85</f>
        <v>-98947.97269680773</v>
      </c>
      <c r="W353" s="1"/>
      <c r="X353" s="1">
        <f>'Geometry Calculator'!X$11/2*COS(RADIANS('Background calcs'!$G353))+X$85</f>
        <v>-98974.724888694269</v>
      </c>
      <c r="Y353" s="1"/>
      <c r="Z353" s="1">
        <f>'Geometry Calculator'!Z$11/2*COS(RADIANS('Background calcs'!$G353))+Z$85</f>
        <v>-98957.710057946155</v>
      </c>
      <c r="AB353" s="159"/>
      <c r="AC353" s="1"/>
      <c r="AD353" s="1"/>
    </row>
    <row r="354" spans="6:30" x14ac:dyDescent="0.25">
      <c r="F354" t="s">
        <v>229</v>
      </c>
      <c r="G354">
        <v>250</v>
      </c>
      <c r="H354" s="1">
        <f>'Geometry Calculator'!H$11/2*COS(RADIANS('Background calcs'!$G354))+H$85</f>
        <v>1102.5860782802768</v>
      </c>
      <c r="I354" s="1"/>
      <c r="J354" s="1">
        <f>'Geometry Calculator'!J$11/2*COS(RADIANS('Background calcs'!$G354))+J$85</f>
        <v>1134.8457175515928</v>
      </c>
      <c r="K354" s="1"/>
      <c r="L354" s="1">
        <f>'Geometry Calculator'!L$11/2*COS(RADIANS('Background calcs'!$G354))+L$85</f>
        <v>-98915.824638428108</v>
      </c>
      <c r="M354" s="1"/>
      <c r="N354" s="1">
        <f>'Geometry Calculator'!N$11/2*COS(RADIANS('Background calcs'!$G354))+N$85</f>
        <v>-98915.824638428108</v>
      </c>
      <c r="O354" s="1"/>
      <c r="P354" s="1">
        <f>'Geometry Calculator'!P$11/2*COS(RADIANS('Background calcs'!$G354))+P$85</f>
        <v>-98978.321867852239</v>
      </c>
      <c r="Q354" s="1"/>
      <c r="R354" s="1">
        <f>'Geometry Calculator'!R$11/2*COS(RADIANS('Background calcs'!$G354))+R$85</f>
        <v>-98962.402036233922</v>
      </c>
      <c r="S354" s="1"/>
      <c r="T354" s="1">
        <f>'Geometry Calculator'!T$11/2*COS(RADIANS('Background calcs'!$G354))+T$85</f>
        <v>-98934.521746445709</v>
      </c>
      <c r="U354" s="1"/>
      <c r="V354" s="1">
        <f>'Geometry Calculator'!V$11/2*COS(RADIANS('Background calcs'!$G354))+V$85</f>
        <v>-98917.990196757339</v>
      </c>
      <c r="W354" s="1"/>
      <c r="X354" s="1">
        <f>'Geometry Calculator'!X$11/2*COS(RADIANS('Background calcs'!$G354))+X$85</f>
        <v>-98943.896108400528</v>
      </c>
      <c r="Y354" s="1"/>
      <c r="Z354" s="1">
        <f>'Geometry Calculator'!Z$11/2*COS(RADIANS('Background calcs'!$G354))+Z$85</f>
        <v>-98926.881277652414</v>
      </c>
      <c r="AB354" s="159"/>
      <c r="AC354" s="1"/>
      <c r="AD354" s="1"/>
    </row>
    <row r="355" spans="6:30" x14ac:dyDescent="0.25">
      <c r="F355" t="s">
        <v>143</v>
      </c>
      <c r="G355">
        <v>255</v>
      </c>
      <c r="H355" s="1">
        <f>'Geometry Calculator'!H$11/2*COS(RADIANS('Background calcs'!$G355))+H$85</f>
        <v>1133.3704846228413</v>
      </c>
      <c r="I355" s="1"/>
      <c r="J355" s="1">
        <f>'Geometry Calculator'!J$11/2*COS(RADIANS('Background calcs'!$G355))+J$85</f>
        <v>1166.2125315817195</v>
      </c>
      <c r="K355" s="1"/>
      <c r="L355" s="1">
        <f>'Geometry Calculator'!L$11/2*COS(RADIANS('Background calcs'!$G355))+L$85</f>
        <v>-98884.457824397978</v>
      </c>
      <c r="M355" s="1"/>
      <c r="N355" s="1">
        <f>'Geometry Calculator'!N$11/2*COS(RADIANS('Background calcs'!$G355))+N$85</f>
        <v>-98884.457824397978</v>
      </c>
      <c r="O355" s="1"/>
      <c r="P355" s="1">
        <f>'Geometry Calculator'!P$11/2*COS(RADIANS('Background calcs'!$G355))+P$85</f>
        <v>-98948.119869197239</v>
      </c>
      <c r="Q355" s="1"/>
      <c r="R355" s="1">
        <f>'Geometry Calculator'!R$11/2*COS(RADIANS('Background calcs'!$G355))+R$85</f>
        <v>-98931.243224949343</v>
      </c>
      <c r="S355" s="1"/>
      <c r="T355" s="1">
        <f>'Geometry Calculator'!T$11/2*COS(RADIANS('Background calcs'!$G355))+T$85</f>
        <v>-98903.570937906698</v>
      </c>
      <c r="U355" s="1"/>
      <c r="V355" s="1">
        <f>'Geometry Calculator'!V$11/2*COS(RADIANS('Background calcs'!$G355))+V$85</f>
        <v>-98887.039388218327</v>
      </c>
      <c r="W355" s="1"/>
      <c r="X355" s="1">
        <f>'Geometry Calculator'!X$11/2*COS(RADIANS('Background calcs'!$G355))+X$85</f>
        <v>-98912.071688330165</v>
      </c>
      <c r="Y355" s="1"/>
      <c r="Z355" s="1">
        <f>'Geometry Calculator'!Z$11/2*COS(RADIANS('Background calcs'!$G355))+Z$85</f>
        <v>-98895.056857582051</v>
      </c>
      <c r="AB355" s="159"/>
      <c r="AC355" s="1"/>
      <c r="AD355" s="1"/>
    </row>
    <row r="356" spans="6:30" x14ac:dyDescent="0.25">
      <c r="F356" t="s">
        <v>230</v>
      </c>
      <c r="G356">
        <v>260</v>
      </c>
      <c r="H356" s="1">
        <f>'Geometry Calculator'!H$11/2*COS(RADIANS('Background calcs'!$G356))+H$85</f>
        <v>1164.8837055740098</v>
      </c>
      <c r="I356" s="1"/>
      <c r="J356" s="1">
        <f>'Geometry Calculator'!J$11/2*COS(RADIANS('Background calcs'!$G356))+J$85</f>
        <v>1198.321948604937</v>
      </c>
      <c r="K356" s="1"/>
      <c r="L356" s="1">
        <f>'Geometry Calculator'!L$11/2*COS(RADIANS('Background calcs'!$G356))+L$85</f>
        <v>-98852.348407374768</v>
      </c>
      <c r="M356" s="1"/>
      <c r="N356" s="1">
        <f>'Geometry Calculator'!N$11/2*COS(RADIANS('Background calcs'!$G356))+N$85</f>
        <v>-98852.348407374768</v>
      </c>
      <c r="O356" s="1"/>
      <c r="P356" s="1">
        <f>'Geometry Calculator'!P$11/2*COS(RADIANS('Background calcs'!$G356))+P$85</f>
        <v>-98917.202844318119</v>
      </c>
      <c r="Q356" s="1"/>
      <c r="R356" s="1">
        <f>'Geometry Calculator'!R$11/2*COS(RADIANS('Background calcs'!$G356))+R$85</f>
        <v>-98899.346735094718</v>
      </c>
      <c r="S356" s="1"/>
      <c r="T356" s="1">
        <f>'Geometry Calculator'!T$11/2*COS(RADIANS('Background calcs'!$G356))+T$85</f>
        <v>-98871.887375220656</v>
      </c>
      <c r="U356" s="1"/>
      <c r="V356" s="1">
        <f>'Geometry Calculator'!V$11/2*COS(RADIANS('Background calcs'!$G356))+V$85</f>
        <v>-98855.355825532286</v>
      </c>
      <c r="W356" s="1"/>
      <c r="X356" s="1">
        <f>'Geometry Calculator'!X$11/2*COS(RADIANS('Background calcs'!$G356))+X$85</f>
        <v>-98879.493831536063</v>
      </c>
      <c r="Y356" s="1"/>
      <c r="Z356" s="1">
        <f>'Geometry Calculator'!Z$11/2*COS(RADIANS('Background calcs'!$G356))+Z$85</f>
        <v>-98862.479000787949</v>
      </c>
      <c r="AB356" s="159"/>
      <c r="AC356" s="1"/>
      <c r="AD356" s="1"/>
    </row>
    <row r="357" spans="6:30" x14ac:dyDescent="0.25">
      <c r="F357" t="s">
        <v>231</v>
      </c>
      <c r="G357">
        <v>265</v>
      </c>
      <c r="H357" s="1">
        <f>'Geometry Calculator'!H$11/2*COS(RADIANS('Background calcs'!$G357))+H$85</f>
        <v>1196.8859064941405</v>
      </c>
      <c r="I357" s="1"/>
      <c r="J357" s="1">
        <f>'Geometry Calculator'!J$11/2*COS(RADIANS('Background calcs'!$G357))+J$85</f>
        <v>1230.9295965695026</v>
      </c>
      <c r="K357" s="1"/>
      <c r="L357" s="1">
        <f>'Geometry Calculator'!L$11/2*COS(RADIANS('Background calcs'!$G357))+L$85</f>
        <v>-98819.740759410197</v>
      </c>
      <c r="M357" s="1"/>
      <c r="N357" s="1">
        <f>'Geometry Calculator'!N$11/2*COS(RADIANS('Background calcs'!$G357))+N$85</f>
        <v>-98819.740759410197</v>
      </c>
      <c r="O357" s="1"/>
      <c r="P357" s="1">
        <f>'Geometry Calculator'!P$11/2*COS(RADIANS('Background calcs'!$G357))+P$85</f>
        <v>-98885.80609044242</v>
      </c>
      <c r="Q357" s="1"/>
      <c r="R357" s="1">
        <f>'Geometry Calculator'!R$11/2*COS(RADIANS('Background calcs'!$G357))+R$85</f>
        <v>-98866.955318217457</v>
      </c>
      <c r="S357" s="1"/>
      <c r="T357" s="1">
        <f>'Geometry Calculator'!T$11/2*COS(RADIANS('Background calcs'!$G357))+T$85</f>
        <v>-98839.712189430691</v>
      </c>
      <c r="U357" s="1"/>
      <c r="V357" s="1">
        <f>'Geometry Calculator'!V$11/2*COS(RADIANS('Background calcs'!$G357))+V$85</f>
        <v>-98823.180639742321</v>
      </c>
      <c r="W357" s="1"/>
      <c r="X357" s="1">
        <f>'Geometry Calculator'!X$11/2*COS(RADIANS('Background calcs'!$G357))+X$85</f>
        <v>-98846.410475179437</v>
      </c>
      <c r="Y357" s="1"/>
      <c r="Z357" s="1">
        <f>'Geometry Calculator'!Z$11/2*COS(RADIANS('Background calcs'!$G357))+Z$85</f>
        <v>-98829.395644431323</v>
      </c>
      <c r="AB357" s="159"/>
      <c r="AC357" s="1"/>
      <c r="AD357" s="1"/>
    </row>
    <row r="358" spans="6:30" x14ac:dyDescent="0.25">
      <c r="F358" t="s">
        <v>144</v>
      </c>
      <c r="G358">
        <v>270</v>
      </c>
      <c r="H358" s="1">
        <f>'Geometry Calculator'!H$11/2*COS(RADIANS('Background calcs'!$G358))+H$85</f>
        <v>1229.1335313107741</v>
      </c>
      <c r="I358" s="1"/>
      <c r="J358" s="1">
        <f>'Geometry Calculator'!J$11/2*COS(RADIANS('Background calcs'!$G358))+J$85</f>
        <v>1263.7873115853697</v>
      </c>
      <c r="K358" s="1"/>
      <c r="L358" s="1">
        <f>'Geometry Calculator'!L$11/2*COS(RADIANS('Background calcs'!$G358))+L$85</f>
        <v>-98786.88304439433</v>
      </c>
      <c r="M358" s="1"/>
      <c r="N358" s="1">
        <f>'Geometry Calculator'!N$11/2*COS(RADIANS('Background calcs'!$G358))+N$85</f>
        <v>-98786.88304439433</v>
      </c>
      <c r="O358" s="1"/>
      <c r="P358" s="1">
        <f>'Geometry Calculator'!P$11/2*COS(RADIANS('Background calcs'!$G358))+P$85</f>
        <v>-98854.168555825017</v>
      </c>
      <c r="Q358" s="1"/>
      <c r="R358" s="1">
        <f>'Geometry Calculator'!R$11/2*COS(RADIANS('Background calcs'!$G358))+R$85</f>
        <v>-98834.315492558453</v>
      </c>
      <c r="S358" s="1"/>
      <c r="T358" s="1">
        <f>'Geometry Calculator'!T$11/2*COS(RADIANS('Background calcs'!$G358))+T$85</f>
        <v>-98807.290253128565</v>
      </c>
      <c r="U358" s="1"/>
      <c r="V358" s="1">
        <f>'Geometry Calculator'!V$11/2*COS(RADIANS('Background calcs'!$G358))+V$85</f>
        <v>-98790.758703440195</v>
      </c>
      <c r="W358" s="1"/>
      <c r="X358" s="1">
        <f>'Geometry Calculator'!X$11/2*COS(RADIANS('Background calcs'!$G358))+X$85</f>
        <v>-98813.073403578455</v>
      </c>
      <c r="Y358" s="1"/>
      <c r="Z358" s="1">
        <f>'Geometry Calculator'!Z$11/2*COS(RADIANS('Background calcs'!$G358))+Z$85</f>
        <v>-98796.058572830341</v>
      </c>
      <c r="AB358" s="159"/>
      <c r="AC358" s="1"/>
      <c r="AD358" s="1"/>
    </row>
    <row r="359" spans="6:30" x14ac:dyDescent="0.25">
      <c r="F359" t="s">
        <v>232</v>
      </c>
      <c r="G359">
        <v>275</v>
      </c>
      <c r="H359" s="1">
        <f>'Geometry Calculator'!H$11/2*COS(RADIANS('Background calcs'!$G359))+H$85</f>
        <v>1261.3811561274074</v>
      </c>
      <c r="I359" s="1"/>
      <c r="J359" s="1">
        <f>'Geometry Calculator'!J$11/2*COS(RADIANS('Background calcs'!$G359))+J$85</f>
        <v>1296.6450266012366</v>
      </c>
      <c r="K359" s="1"/>
      <c r="L359" s="1">
        <f>'Geometry Calculator'!L$11/2*COS(RADIANS('Background calcs'!$G359))+L$85</f>
        <v>-98754.025329378463</v>
      </c>
      <c r="M359" s="1"/>
      <c r="N359" s="1">
        <f>'Geometry Calculator'!N$11/2*COS(RADIANS('Background calcs'!$G359))+N$85</f>
        <v>-98754.025329378463</v>
      </c>
      <c r="O359" s="1"/>
      <c r="P359" s="1">
        <f>'Geometry Calculator'!P$11/2*COS(RADIANS('Background calcs'!$G359))+P$85</f>
        <v>-98822.531021207615</v>
      </c>
      <c r="Q359" s="1"/>
      <c r="R359" s="1">
        <f>'Geometry Calculator'!R$11/2*COS(RADIANS('Background calcs'!$G359))+R$85</f>
        <v>-98801.675666899449</v>
      </c>
      <c r="S359" s="1"/>
      <c r="T359" s="1">
        <f>'Geometry Calculator'!T$11/2*COS(RADIANS('Background calcs'!$G359))+T$85</f>
        <v>-98774.86831682644</v>
      </c>
      <c r="U359" s="1"/>
      <c r="V359" s="1">
        <f>'Geometry Calculator'!V$11/2*COS(RADIANS('Background calcs'!$G359))+V$85</f>
        <v>-98758.336767138069</v>
      </c>
      <c r="W359" s="1"/>
      <c r="X359" s="1">
        <f>'Geometry Calculator'!X$11/2*COS(RADIANS('Background calcs'!$G359))+X$85</f>
        <v>-98779.736331977474</v>
      </c>
      <c r="Y359" s="1"/>
      <c r="Z359" s="1">
        <f>'Geometry Calculator'!Z$11/2*COS(RADIANS('Background calcs'!$G359))+Z$85</f>
        <v>-98762.72150122936</v>
      </c>
      <c r="AB359" s="159"/>
      <c r="AC359" s="1"/>
      <c r="AD359" s="1"/>
    </row>
    <row r="360" spans="6:30" x14ac:dyDescent="0.25">
      <c r="F360" t="s">
        <v>233</v>
      </c>
      <c r="G360">
        <v>280</v>
      </c>
      <c r="H360" s="1">
        <f>'Geometry Calculator'!H$11/2*COS(RADIANS('Background calcs'!$G360))+H$85</f>
        <v>1293.3833570475381</v>
      </c>
      <c r="I360" s="1"/>
      <c r="J360" s="1">
        <f>'Geometry Calculator'!J$11/2*COS(RADIANS('Background calcs'!$G360))+J$85</f>
        <v>1329.2526745658024</v>
      </c>
      <c r="K360" s="1"/>
      <c r="L360" s="1">
        <f>'Geometry Calculator'!L$11/2*COS(RADIANS('Background calcs'!$G360))+L$85</f>
        <v>-98721.417681413892</v>
      </c>
      <c r="M360" s="1"/>
      <c r="N360" s="1">
        <f>'Geometry Calculator'!N$11/2*COS(RADIANS('Background calcs'!$G360))+N$85</f>
        <v>-98721.417681413892</v>
      </c>
      <c r="O360" s="1"/>
      <c r="P360" s="1">
        <f>'Geometry Calculator'!P$11/2*COS(RADIANS('Background calcs'!$G360))+P$85</f>
        <v>-98791.134267331916</v>
      </c>
      <c r="Q360" s="1"/>
      <c r="R360" s="1">
        <f>'Geometry Calculator'!R$11/2*COS(RADIANS('Background calcs'!$G360))+R$85</f>
        <v>-98769.284250022189</v>
      </c>
      <c r="S360" s="1"/>
      <c r="T360" s="1">
        <f>'Geometry Calculator'!T$11/2*COS(RADIANS('Background calcs'!$G360))+T$85</f>
        <v>-98742.693131036474</v>
      </c>
      <c r="U360" s="1"/>
      <c r="V360" s="1">
        <f>'Geometry Calculator'!V$11/2*COS(RADIANS('Background calcs'!$G360))+V$85</f>
        <v>-98726.161581348104</v>
      </c>
      <c r="W360" s="1"/>
      <c r="X360" s="1">
        <f>'Geometry Calculator'!X$11/2*COS(RADIANS('Background calcs'!$G360))+X$85</f>
        <v>-98746.652975620847</v>
      </c>
      <c r="Y360" s="1"/>
      <c r="Z360" s="1">
        <f>'Geometry Calculator'!Z$11/2*COS(RADIANS('Background calcs'!$G360))+Z$85</f>
        <v>-98729.638144872733</v>
      </c>
      <c r="AB360" s="159"/>
      <c r="AC360" s="1"/>
      <c r="AD360" s="1"/>
    </row>
    <row r="361" spans="6:30" x14ac:dyDescent="0.25">
      <c r="F361" t="s">
        <v>145</v>
      </c>
      <c r="G361">
        <v>285</v>
      </c>
      <c r="H361" s="1">
        <f>'Geometry Calculator'!H$11/2*COS(RADIANS('Background calcs'!$G361))+H$85</f>
        <v>1324.8965779987066</v>
      </c>
      <c r="I361" s="1"/>
      <c r="J361" s="1">
        <f>'Geometry Calculator'!J$11/2*COS(RADIANS('Background calcs'!$G361))+J$85</f>
        <v>1361.3620915890199</v>
      </c>
      <c r="K361" s="1"/>
      <c r="L361" s="1">
        <f>'Geometry Calculator'!L$11/2*COS(RADIANS('Background calcs'!$G361))+L$85</f>
        <v>-98689.308264390682</v>
      </c>
      <c r="M361" s="1"/>
      <c r="N361" s="1">
        <f>'Geometry Calculator'!N$11/2*COS(RADIANS('Background calcs'!$G361))+N$85</f>
        <v>-98689.308264390682</v>
      </c>
      <c r="O361" s="1"/>
      <c r="P361" s="1">
        <f>'Geometry Calculator'!P$11/2*COS(RADIANS('Background calcs'!$G361))+P$85</f>
        <v>-98760.217242452796</v>
      </c>
      <c r="Q361" s="1"/>
      <c r="R361" s="1">
        <f>'Geometry Calculator'!R$11/2*COS(RADIANS('Background calcs'!$G361))+R$85</f>
        <v>-98737.387760167563</v>
      </c>
      <c r="S361" s="1"/>
      <c r="T361" s="1">
        <f>'Geometry Calculator'!T$11/2*COS(RADIANS('Background calcs'!$G361))+T$85</f>
        <v>-98711.009568350433</v>
      </c>
      <c r="U361" s="1"/>
      <c r="V361" s="1">
        <f>'Geometry Calculator'!V$11/2*COS(RADIANS('Background calcs'!$G361))+V$85</f>
        <v>-98694.478018662063</v>
      </c>
      <c r="W361" s="1"/>
      <c r="X361" s="1">
        <f>'Geometry Calculator'!X$11/2*COS(RADIANS('Background calcs'!$G361))+X$85</f>
        <v>-98714.075118826746</v>
      </c>
      <c r="Y361" s="1"/>
      <c r="Z361" s="1">
        <f>'Geometry Calculator'!Z$11/2*COS(RADIANS('Background calcs'!$G361))+Z$85</f>
        <v>-98697.060288078632</v>
      </c>
      <c r="AB361" s="159"/>
      <c r="AC361" s="1"/>
      <c r="AD361" s="1"/>
    </row>
    <row r="362" spans="6:30" x14ac:dyDescent="0.25">
      <c r="F362" t="s">
        <v>234</v>
      </c>
      <c r="G362">
        <v>290</v>
      </c>
      <c r="H362" s="1">
        <f>'Geometry Calculator'!H$11/2*COS(RADIANS('Background calcs'!$G362))+H$85</f>
        <v>1355.6809843412716</v>
      </c>
      <c r="I362" s="1"/>
      <c r="J362" s="1">
        <f>'Geometry Calculator'!J$11/2*COS(RADIANS('Background calcs'!$G362))+J$85</f>
        <v>1392.7289056191469</v>
      </c>
      <c r="K362" s="1"/>
      <c r="L362" s="1">
        <f>'Geometry Calculator'!L$11/2*COS(RADIANS('Background calcs'!$G362))+L$85</f>
        <v>-98657.941450360551</v>
      </c>
      <c r="M362" s="1"/>
      <c r="N362" s="1">
        <f>'Geometry Calculator'!N$11/2*COS(RADIANS('Background calcs'!$G362))+N$85</f>
        <v>-98657.941450360551</v>
      </c>
      <c r="O362" s="1"/>
      <c r="P362" s="1">
        <f>'Geometry Calculator'!P$11/2*COS(RADIANS('Background calcs'!$G362))+P$85</f>
        <v>-98730.015243797796</v>
      </c>
      <c r="Q362" s="1"/>
      <c r="R362" s="1">
        <f>'Geometry Calculator'!R$11/2*COS(RADIANS('Background calcs'!$G362))+R$85</f>
        <v>-98706.228948882985</v>
      </c>
      <c r="S362" s="1"/>
      <c r="T362" s="1">
        <f>'Geometry Calculator'!T$11/2*COS(RADIANS('Background calcs'!$G362))+T$85</f>
        <v>-98680.058759811422</v>
      </c>
      <c r="U362" s="1"/>
      <c r="V362" s="1">
        <f>'Geometry Calculator'!V$11/2*COS(RADIANS('Background calcs'!$G362))+V$85</f>
        <v>-98663.527210123051</v>
      </c>
      <c r="W362" s="1"/>
      <c r="X362" s="1">
        <f>'Geometry Calculator'!X$11/2*COS(RADIANS('Background calcs'!$G362))+X$85</f>
        <v>-98682.250698756383</v>
      </c>
      <c r="Y362" s="1"/>
      <c r="Z362" s="1">
        <f>'Geometry Calculator'!Z$11/2*COS(RADIANS('Background calcs'!$G362))+Z$85</f>
        <v>-98665.235868008269</v>
      </c>
      <c r="AB362" s="159"/>
      <c r="AC362" s="1"/>
      <c r="AD362" s="1"/>
    </row>
    <row r="363" spans="6:30" x14ac:dyDescent="0.25">
      <c r="F363" t="s">
        <v>235</v>
      </c>
      <c r="G363">
        <v>295</v>
      </c>
      <c r="H363" s="1">
        <f>'Geometry Calculator'!H$11/2*COS(RADIANS('Background calcs'!$G363))+H$85</f>
        <v>1385.502288154833</v>
      </c>
      <c r="I363" s="1"/>
      <c r="J363" s="1">
        <f>'Geometry Calculator'!J$11/2*COS(RADIANS('Background calcs'!$G363))+J$85</f>
        <v>1423.1143962616134</v>
      </c>
      <c r="K363" s="1"/>
      <c r="L363" s="1">
        <f>'Geometry Calculator'!L$11/2*COS(RADIANS('Background calcs'!$G363))+L$85</f>
        <v>-98627.555959718084</v>
      </c>
      <c r="M363" s="1"/>
      <c r="N363" s="1">
        <f>'Geometry Calculator'!N$11/2*COS(RADIANS('Background calcs'!$G363))+N$85</f>
        <v>-98627.555959718084</v>
      </c>
      <c r="O363" s="1"/>
      <c r="P363" s="1">
        <f>'Geometry Calculator'!P$11/2*COS(RADIANS('Background calcs'!$G363))+P$85</f>
        <v>-98700.758126813147</v>
      </c>
      <c r="Q363" s="1"/>
      <c r="R363" s="1">
        <f>'Geometry Calculator'!R$11/2*COS(RADIANS('Background calcs'!$G363))+R$85</f>
        <v>-98676.044953536562</v>
      </c>
      <c r="S363" s="1"/>
      <c r="T363" s="1">
        <f>'Geometry Calculator'!T$11/2*COS(RADIANS('Background calcs'!$G363))+T$85</f>
        <v>-98650.07625976103</v>
      </c>
      <c r="U363" s="1"/>
      <c r="V363" s="1">
        <f>'Geometry Calculator'!V$11/2*COS(RADIANS('Background calcs'!$G363))+V$85</f>
        <v>-98633.54471007266</v>
      </c>
      <c r="W363" s="1"/>
      <c r="X363" s="1">
        <f>'Geometry Calculator'!X$11/2*COS(RADIANS('Background calcs'!$G363))+X$85</f>
        <v>-98651.421918462642</v>
      </c>
      <c r="Y363" s="1"/>
      <c r="Z363" s="1">
        <f>'Geometry Calculator'!Z$11/2*COS(RADIANS('Background calcs'!$G363))+Z$85</f>
        <v>-98634.407087714528</v>
      </c>
      <c r="AB363" s="159"/>
      <c r="AC363" s="1"/>
      <c r="AD363" s="1"/>
    </row>
    <row r="364" spans="6:30" x14ac:dyDescent="0.25">
      <c r="F364" t="s">
        <v>146</v>
      </c>
      <c r="G364">
        <v>300</v>
      </c>
      <c r="H364" s="1">
        <f>'Geometry Calculator'!H$11/2*COS(RADIANS('Background calcs'!$G364))+H$85</f>
        <v>1414.1335313107741</v>
      </c>
      <c r="I364" s="1"/>
      <c r="J364" s="1">
        <f>'Geometry Calculator'!J$11/2*COS(RADIANS('Background calcs'!$G364))+J$85</f>
        <v>1452.2873115853697</v>
      </c>
      <c r="K364" s="1"/>
      <c r="L364" s="1">
        <f>'Geometry Calculator'!L$11/2*COS(RADIANS('Background calcs'!$G364))+L$85</f>
        <v>-98598.38304439433</v>
      </c>
      <c r="M364" s="1"/>
      <c r="N364" s="1">
        <f>'Geometry Calculator'!N$11/2*COS(RADIANS('Background calcs'!$G364))+N$85</f>
        <v>-98598.38304439433</v>
      </c>
      <c r="O364" s="1"/>
      <c r="P364" s="1">
        <f>'Geometry Calculator'!P$11/2*COS(RADIANS('Background calcs'!$G364))+P$85</f>
        <v>-98672.668555825017</v>
      </c>
      <c r="Q364" s="1"/>
      <c r="R364" s="1">
        <f>'Geometry Calculator'!R$11/2*COS(RADIANS('Background calcs'!$G364))+R$85</f>
        <v>-98647.065492558453</v>
      </c>
      <c r="S364" s="1"/>
      <c r="T364" s="1">
        <f>'Geometry Calculator'!T$11/2*COS(RADIANS('Background calcs'!$G364))+T$85</f>
        <v>-98621.290253128565</v>
      </c>
      <c r="U364" s="1"/>
      <c r="V364" s="1">
        <f>'Geometry Calculator'!V$11/2*COS(RADIANS('Background calcs'!$G364))+V$85</f>
        <v>-98604.758703440195</v>
      </c>
      <c r="W364" s="1"/>
      <c r="X364" s="1">
        <f>'Geometry Calculator'!X$11/2*COS(RADIANS('Background calcs'!$G364))+X$85</f>
        <v>-98621.823403578455</v>
      </c>
      <c r="Y364" s="1"/>
      <c r="Z364" s="1">
        <f>'Geometry Calculator'!Z$11/2*COS(RADIANS('Background calcs'!$G364))+Z$85</f>
        <v>-98604.808572830341</v>
      </c>
      <c r="AB364" s="159"/>
      <c r="AC364" s="1"/>
      <c r="AD364" s="1"/>
    </row>
    <row r="365" spans="6:30" x14ac:dyDescent="0.25">
      <c r="F365" t="s">
        <v>236</v>
      </c>
      <c r="G365">
        <v>305</v>
      </c>
      <c r="H365" s="1">
        <f>'Geometry Calculator'!H$11/2*COS(RADIANS('Background calcs'!$G365))+H$85</f>
        <v>1441.3568127606611</v>
      </c>
      <c r="I365" s="1"/>
      <c r="J365" s="1">
        <f>'Geometry Calculator'!J$11/2*COS(RADIANS('Background calcs'!$G365))+J$85</f>
        <v>1480.025628089714</v>
      </c>
      <c r="K365" s="1"/>
      <c r="L365" s="1">
        <f>'Geometry Calculator'!L$11/2*COS(RADIANS('Background calcs'!$G365))+L$85</f>
        <v>-98570.644727889987</v>
      </c>
      <c r="M365" s="1"/>
      <c r="N365" s="1">
        <f>'Geometry Calculator'!N$11/2*COS(RADIANS('Background calcs'!$G365))+N$85</f>
        <v>-98570.644727889987</v>
      </c>
      <c r="O365" s="1"/>
      <c r="P365" s="1">
        <f>'Geometry Calculator'!P$11/2*COS(RADIANS('Background calcs'!$G365))+P$85</f>
        <v>-98645.960309429589</v>
      </c>
      <c r="Q365" s="1"/>
      <c r="R365" s="1">
        <f>'Geometry Calculator'!R$11/2*COS(RADIANS('Background calcs'!$G365))+R$85</f>
        <v>-98619.511117144983</v>
      </c>
      <c r="S365" s="1"/>
      <c r="T365" s="1">
        <f>'Geometry Calculator'!T$11/2*COS(RADIANS('Background calcs'!$G365))+T$85</f>
        <v>-98593.919818805982</v>
      </c>
      <c r="U365" s="1"/>
      <c r="V365" s="1">
        <f>'Geometry Calculator'!V$11/2*COS(RADIANS('Background calcs'!$G365))+V$85</f>
        <v>-98577.388269117611</v>
      </c>
      <c r="W365" s="1"/>
      <c r="X365" s="1">
        <f>'Geometry Calculator'!X$11/2*COS(RADIANS('Background calcs'!$G365))+X$85</f>
        <v>-98593.680416674179</v>
      </c>
      <c r="Y365" s="1"/>
      <c r="Z365" s="1">
        <f>'Geometry Calculator'!Z$11/2*COS(RADIANS('Background calcs'!$G365))+Z$85</f>
        <v>-98576.665585926065</v>
      </c>
      <c r="AB365" s="159"/>
      <c r="AC365" s="1"/>
      <c r="AD365" s="1"/>
    </row>
    <row r="366" spans="6:30" x14ac:dyDescent="0.25">
      <c r="F366" t="s">
        <v>237</v>
      </c>
      <c r="G366">
        <v>310</v>
      </c>
      <c r="H366" s="1">
        <f>'Geometry Calculator'!H$11/2*COS(RADIANS('Background calcs'!$G366))+H$85</f>
        <v>1466.9649468947937</v>
      </c>
      <c r="I366" s="1"/>
      <c r="J366" s="1">
        <f>'Geometry Calculator'!J$11/2*COS(RADIANS('Background calcs'!$G366))+J$85</f>
        <v>1506.118240437195</v>
      </c>
      <c r="K366" s="1"/>
      <c r="L366" s="1">
        <f>'Geometry Calculator'!L$11/2*COS(RADIANS('Background calcs'!$G366))+L$85</f>
        <v>-98544.552115542509</v>
      </c>
      <c r="M366" s="1"/>
      <c r="N366" s="1">
        <f>'Geometry Calculator'!N$11/2*COS(RADIANS('Background calcs'!$G366))+N$85</f>
        <v>-98544.552115542509</v>
      </c>
      <c r="O366" s="1"/>
      <c r="P366" s="1">
        <f>'Geometry Calculator'!P$11/2*COS(RADIANS('Background calcs'!$G366))+P$85</f>
        <v>-98620.836653508799</v>
      </c>
      <c r="Q366" s="1"/>
      <c r="R366" s="1">
        <f>'Geometry Calculator'!R$11/2*COS(RADIANS('Background calcs'!$G366))+R$85</f>
        <v>-98593.591532730847</v>
      </c>
      <c r="S366" s="1"/>
      <c r="T366" s="1">
        <f>'Geometry Calculator'!T$11/2*COS(RADIANS('Background calcs'!$G366))+T$85</f>
        <v>-98568.173262325174</v>
      </c>
      <c r="U366" s="1"/>
      <c r="V366" s="1">
        <f>'Geometry Calculator'!V$11/2*COS(RADIANS('Background calcs'!$G366))+V$85</f>
        <v>-98551.641712636803</v>
      </c>
      <c r="W366" s="1"/>
      <c r="X366" s="1">
        <f>'Geometry Calculator'!X$11/2*COS(RADIANS('Background calcs'!$G366))+X$85</f>
        <v>-98567.207142873347</v>
      </c>
      <c r="Y366" s="1"/>
      <c r="Z366" s="1">
        <f>'Geometry Calculator'!Z$11/2*COS(RADIANS('Background calcs'!$G366))+Z$85</f>
        <v>-98550.192312125233</v>
      </c>
      <c r="AB366" s="159"/>
      <c r="AC366" s="1"/>
      <c r="AD366" s="1"/>
    </row>
    <row r="367" spans="6:30" x14ac:dyDescent="0.25">
      <c r="F367" t="s">
        <v>147</v>
      </c>
      <c r="G367">
        <v>315</v>
      </c>
      <c r="H367" s="1">
        <f>'Geometry Calculator'!H$11/2*COS(RADIANS('Background calcs'!$G367))+H$85</f>
        <v>1490.7630403497965</v>
      </c>
      <c r="I367" s="1"/>
      <c r="J367" s="1">
        <f>'Geometry Calculator'!J$11/2*COS(RADIANS('Background calcs'!$G367))+J$85</f>
        <v>1530.3665680926981</v>
      </c>
      <c r="K367" s="1"/>
      <c r="L367" s="1">
        <f>'Geometry Calculator'!L$11/2*COS(RADIANS('Background calcs'!$G367))+L$85</f>
        <v>-98520.303787886995</v>
      </c>
      <c r="M367" s="1"/>
      <c r="N367" s="1">
        <f>'Geometry Calculator'!N$11/2*COS(RADIANS('Background calcs'!$G367))+N$85</f>
        <v>-98520.303787886995</v>
      </c>
      <c r="O367" s="1"/>
      <c r="P367" s="1">
        <f>'Geometry Calculator'!P$11/2*COS(RADIANS('Background calcs'!$G367))+P$85</f>
        <v>-98597.488794254299</v>
      </c>
      <c r="Q367" s="1"/>
      <c r="R367" s="1">
        <f>'Geometry Calculator'!R$11/2*COS(RADIANS('Background calcs'!$G367))+R$85</f>
        <v>-98569.504003004098</v>
      </c>
      <c r="S367" s="1"/>
      <c r="T367" s="1">
        <f>'Geometry Calculator'!T$11/2*COS(RADIANS('Background calcs'!$G367))+T$85</f>
        <v>-98544.246530527176</v>
      </c>
      <c r="U367" s="1"/>
      <c r="V367" s="1">
        <f>'Geometry Calculator'!V$11/2*COS(RADIANS('Background calcs'!$G367))+V$85</f>
        <v>-98527.714980838806</v>
      </c>
      <c r="W367" s="1"/>
      <c r="X367" s="1">
        <f>'Geometry Calculator'!X$11/2*COS(RADIANS('Background calcs'!$G367))+X$85</f>
        <v>-98542.605059774607</v>
      </c>
      <c r="Y367" s="1"/>
      <c r="Z367" s="1">
        <f>'Geometry Calculator'!Z$11/2*COS(RADIANS('Background calcs'!$G367))+Z$85</f>
        <v>-98525.590229026493</v>
      </c>
      <c r="AB367" s="159"/>
      <c r="AC367" s="1"/>
      <c r="AD367" s="1"/>
    </row>
    <row r="368" spans="6:30" x14ac:dyDescent="0.25">
      <c r="F368" t="s">
        <v>238</v>
      </c>
      <c r="G368">
        <v>320</v>
      </c>
      <c r="H368" s="1">
        <f>'Geometry Calculator'!H$11/2*COS(RADIANS('Background calcs'!$G368))+H$85</f>
        <v>1512.5699752647959</v>
      </c>
      <c r="I368" s="1"/>
      <c r="J368" s="1">
        <f>'Geometry Calculator'!J$11/2*COS(RADIANS('Background calcs'!$G368))+J$85</f>
        <v>1552.5860666412243</v>
      </c>
      <c r="K368" s="1"/>
      <c r="L368" s="1">
        <f>'Geometry Calculator'!L$11/2*COS(RADIANS('Background calcs'!$G368))+L$85</f>
        <v>-98498.084289338469</v>
      </c>
      <c r="M368" s="1"/>
      <c r="N368" s="1">
        <f>'Geometry Calculator'!N$11/2*COS(RADIANS('Background calcs'!$G368))+N$85</f>
        <v>-98498.084289338469</v>
      </c>
      <c r="O368" s="1"/>
      <c r="P368" s="1">
        <f>'Geometry Calculator'!P$11/2*COS(RADIANS('Background calcs'!$G368))+P$85</f>
        <v>-98576.094422972834</v>
      </c>
      <c r="Q368" s="1"/>
      <c r="R368" s="1">
        <f>'Geometry Calculator'!R$11/2*COS(RADIANS('Background calcs'!$G368))+R$85</f>
        <v>-98547.431848610402</v>
      </c>
      <c r="S368" s="1"/>
      <c r="T368" s="1">
        <f>'Geometry Calculator'!T$11/2*COS(RADIANS('Background calcs'!$G368))+T$85</f>
        <v>-98522.32172028831</v>
      </c>
      <c r="U368" s="1"/>
      <c r="V368" s="1">
        <f>'Geometry Calculator'!V$11/2*COS(RADIANS('Background calcs'!$G368))+V$85</f>
        <v>-98505.790170599939</v>
      </c>
      <c r="W368" s="1"/>
      <c r="X368" s="1">
        <f>'Geometry Calculator'!X$11/2*COS(RADIANS('Background calcs'!$G368))+X$85</f>
        <v>-98520.061404085442</v>
      </c>
      <c r="Y368" s="1"/>
      <c r="Z368" s="1">
        <f>'Geometry Calculator'!Z$11/2*COS(RADIANS('Background calcs'!$G368))+Z$85</f>
        <v>-98503.046573337328</v>
      </c>
      <c r="AB368" s="159"/>
      <c r="AC368" s="1"/>
      <c r="AD368" s="1"/>
    </row>
    <row r="369" spans="6:30" x14ac:dyDescent="0.25">
      <c r="F369" t="s">
        <v>239</v>
      </c>
      <c r="G369">
        <v>325</v>
      </c>
      <c r="H369" s="1">
        <f>'Geometry Calculator'!H$11/2*COS(RADIANS('Background calcs'!$G369))+H$85</f>
        <v>1532.2197876977009</v>
      </c>
      <c r="I369" s="1"/>
      <c r="J369" s="1">
        <f>'Geometry Calculator'!J$11/2*COS(RADIANS('Background calcs'!$G369))+J$85</f>
        <v>1572.6076322823196</v>
      </c>
      <c r="K369" s="1"/>
      <c r="L369" s="1">
        <f>'Geometry Calculator'!L$11/2*COS(RADIANS('Background calcs'!$G369))+L$85</f>
        <v>-98478.062723697381</v>
      </c>
      <c r="M369" s="1"/>
      <c r="N369" s="1">
        <f>'Geometry Calculator'!N$11/2*COS(RADIANS('Background calcs'!$G369))+N$85</f>
        <v>-98478.062723697381</v>
      </c>
      <c r="O369" s="1"/>
      <c r="P369" s="1">
        <f>'Geometry Calculator'!P$11/2*COS(RADIANS('Background calcs'!$G369))+P$85</f>
        <v>-98556.816363748119</v>
      </c>
      <c r="Q369" s="1"/>
      <c r="R369" s="1">
        <f>'Geometry Calculator'!R$11/2*COS(RADIANS('Background calcs'!$G369))+R$85</f>
        <v>-98527.543051972229</v>
      </c>
      <c r="S369" s="1"/>
      <c r="T369" s="1">
        <f>'Geometry Calculator'!T$11/2*COS(RADIANS('Background calcs'!$G369))+T$85</f>
        <v>-98502.565692653065</v>
      </c>
      <c r="U369" s="1"/>
      <c r="V369" s="1">
        <f>'Geometry Calculator'!V$11/2*COS(RADIANS('Background calcs'!$G369))+V$85</f>
        <v>-98486.034142964694</v>
      </c>
      <c r="W369" s="1"/>
      <c r="X369" s="1">
        <f>'Geometry Calculator'!X$11/2*COS(RADIANS('Background calcs'!$G369))+X$85</f>
        <v>-98499.74774663792</v>
      </c>
      <c r="Y369" s="1"/>
      <c r="Z369" s="1">
        <f>'Geometry Calculator'!Z$11/2*COS(RADIANS('Background calcs'!$G369))+Z$85</f>
        <v>-98482.732915889806</v>
      </c>
      <c r="AB369" s="159"/>
      <c r="AC369" s="1"/>
      <c r="AD369" s="1"/>
    </row>
    <row r="370" spans="6:30" x14ac:dyDescent="0.25">
      <c r="F370" t="s">
        <v>148</v>
      </c>
      <c r="G370">
        <v>330</v>
      </c>
      <c r="H370" s="1">
        <f>'Geometry Calculator'!H$11/2*COS(RADIANS('Background calcs'!$G370))+H$85</f>
        <v>1549.5629307110162</v>
      </c>
      <c r="I370" s="1"/>
      <c r="J370" s="1">
        <f>'Geometry Calculator'!J$11/2*COS(RADIANS('Background calcs'!$G370))+J$85</f>
        <v>1590.2788888121031</v>
      </c>
      <c r="K370" s="1"/>
      <c r="L370" s="1">
        <f>'Geometry Calculator'!L$11/2*COS(RADIANS('Background calcs'!$G370))+L$85</f>
        <v>-98460.391467167603</v>
      </c>
      <c r="M370" s="1"/>
      <c r="N370" s="1">
        <f>'Geometry Calculator'!N$11/2*COS(RADIANS('Background calcs'!$G370))+N$85</f>
        <v>-98460.391467167603</v>
      </c>
      <c r="O370" s="1"/>
      <c r="P370" s="1">
        <f>'Geometry Calculator'!P$11/2*COS(RADIANS('Background calcs'!$G370))+P$85</f>
        <v>-98539.801334251271</v>
      </c>
      <c r="Q370" s="1"/>
      <c r="R370" s="1">
        <f>'Geometry Calculator'!R$11/2*COS(RADIANS('Background calcs'!$G370))+R$85</f>
        <v>-98509.988978841182</v>
      </c>
      <c r="S370" s="1"/>
      <c r="T370" s="1">
        <f>'Geometry Calculator'!T$11/2*COS(RADIANS('Background calcs'!$G370))+T$85</f>
        <v>-98485.12880292075</v>
      </c>
      <c r="U370" s="1"/>
      <c r="V370" s="1">
        <f>'Geometry Calculator'!V$11/2*COS(RADIANS('Background calcs'!$G370))+V$85</f>
        <v>-98468.597253232379</v>
      </c>
      <c r="W370" s="1"/>
      <c r="X370" s="1">
        <f>'Geometry Calculator'!X$11/2*COS(RADIANS('Background calcs'!$G370))+X$85</f>
        <v>-98481.818686630912</v>
      </c>
      <c r="Y370" s="1"/>
      <c r="Z370" s="1">
        <f>'Geometry Calculator'!Z$11/2*COS(RADIANS('Background calcs'!$G370))+Z$85</f>
        <v>-98464.803855882798</v>
      </c>
      <c r="AB370" s="159"/>
      <c r="AC370" s="1"/>
      <c r="AD370" s="1"/>
    </row>
    <row r="371" spans="6:30" x14ac:dyDescent="0.25">
      <c r="F371" t="s">
        <v>240</v>
      </c>
      <c r="G371">
        <v>335</v>
      </c>
      <c r="H371" s="1">
        <f>'Geometry Calculator'!H$11/2*COS(RADIANS('Background calcs'!$G371))+H$85</f>
        <v>1564.4674125143347</v>
      </c>
      <c r="I371" s="1"/>
      <c r="J371" s="1">
        <f>'Geometry Calculator'!J$11/2*COS(RADIANS('Background calcs'!$G371))+J$85</f>
        <v>1605.4653472981868</v>
      </c>
      <c r="K371" s="1"/>
      <c r="L371" s="1">
        <f>'Geometry Calculator'!L$11/2*COS(RADIANS('Background calcs'!$G371))+L$85</f>
        <v>-98445.205008681514</v>
      </c>
      <c r="M371" s="1"/>
      <c r="N371" s="1">
        <f>'Geometry Calculator'!N$11/2*COS(RADIANS('Background calcs'!$G371))+N$85</f>
        <v>-98445.205008681514</v>
      </c>
      <c r="O371" s="1"/>
      <c r="P371" s="1">
        <f>'Geometry Calculator'!P$11/2*COS(RADIANS('Background calcs'!$G371))+P$85</f>
        <v>-98525.178829130717</v>
      </c>
      <c r="Q371" s="1"/>
      <c r="R371" s="1">
        <f>'Geometry Calculator'!R$11/2*COS(RADIANS('Background calcs'!$G371))+R$85</f>
        <v>-98494.903226313225</v>
      </c>
      <c r="S371" s="1"/>
      <c r="T371" s="1">
        <f>'Geometry Calculator'!T$11/2*COS(RADIANS('Background calcs'!$G371))+T$85</f>
        <v>-98470.143756350924</v>
      </c>
      <c r="U371" s="1"/>
      <c r="V371" s="1">
        <f>'Geometry Calculator'!V$11/2*COS(RADIANS('Background calcs'!$G371))+V$85</f>
        <v>-98453.612206662554</v>
      </c>
      <c r="W371" s="1"/>
      <c r="X371" s="1">
        <f>'Geometry Calculator'!X$11/2*COS(RADIANS('Background calcs'!$G371))+X$85</f>
        <v>-98466.410675036939</v>
      </c>
      <c r="Y371" s="1"/>
      <c r="Z371" s="1">
        <f>'Geometry Calculator'!Z$11/2*COS(RADIANS('Background calcs'!$G371))+Z$85</f>
        <v>-98449.395844288825</v>
      </c>
      <c r="AB371" s="159"/>
      <c r="AC371" s="1"/>
      <c r="AD371" s="1"/>
    </row>
    <row r="372" spans="6:30" x14ac:dyDescent="0.25">
      <c r="F372" t="s">
        <v>241</v>
      </c>
      <c r="G372">
        <v>340</v>
      </c>
      <c r="H372" s="1">
        <f>'Geometry Calculator'!H$11/2*COS(RADIANS('Background calcs'!$G372))+H$85</f>
        <v>1576.8198010015601</v>
      </c>
      <c r="I372" s="1"/>
      <c r="J372" s="1">
        <f>'Geometry Calculator'!J$11/2*COS(RADIANS('Background calcs'!$G372))+J$85</f>
        <v>1618.0514296216572</v>
      </c>
      <c r="K372" s="1"/>
      <c r="L372" s="1">
        <f>'Geometry Calculator'!L$11/2*COS(RADIANS('Background calcs'!$G372))+L$85</f>
        <v>-98432.618926358045</v>
      </c>
      <c r="M372" s="1"/>
      <c r="N372" s="1">
        <f>'Geometry Calculator'!N$11/2*COS(RADIANS('Background calcs'!$G372))+N$85</f>
        <v>-98432.618926358045</v>
      </c>
      <c r="O372" s="1"/>
      <c r="P372" s="1">
        <f>'Geometry Calculator'!P$11/2*COS(RADIANS('Background calcs'!$G372))+P$85</f>
        <v>-98513.060134479732</v>
      </c>
      <c r="Q372" s="1"/>
      <c r="R372" s="1">
        <f>'Geometry Calculator'!R$11/2*COS(RADIANS('Background calcs'!$G372))+R$85</f>
        <v>-98482.400606074138</v>
      </c>
      <c r="S372" s="1"/>
      <c r="T372" s="1">
        <f>'Geometry Calculator'!T$11/2*COS(RADIANS('Background calcs'!$G372))+T$85</f>
        <v>-98457.724598196204</v>
      </c>
      <c r="U372" s="1"/>
      <c r="V372" s="1">
        <f>'Geometry Calculator'!V$11/2*COS(RADIANS('Background calcs'!$G372))+V$85</f>
        <v>-98441.193048507834</v>
      </c>
      <c r="W372" s="1"/>
      <c r="X372" s="1">
        <f>'Geometry Calculator'!X$11/2*COS(RADIANS('Background calcs'!$G372))+X$85</f>
        <v>-98453.640976127848</v>
      </c>
      <c r="Y372" s="1"/>
      <c r="Z372" s="1">
        <f>'Geometry Calculator'!Z$11/2*COS(RADIANS('Background calcs'!$G372))+Z$85</f>
        <v>-98436.626145379734</v>
      </c>
      <c r="AB372" s="159"/>
      <c r="AC372" s="1"/>
      <c r="AD372" s="1"/>
    </row>
    <row r="373" spans="6:30" x14ac:dyDescent="0.25">
      <c r="F373" t="s">
        <v>149</v>
      </c>
      <c r="G373">
        <v>345</v>
      </c>
      <c r="H373" s="1">
        <f>'Geometry Calculator'!H$11/2*COS(RADIANS('Background calcs'!$G373))+H$85</f>
        <v>1586.5260870377292</v>
      </c>
      <c r="I373" s="1"/>
      <c r="J373" s="1">
        <f>'Geometry Calculator'!J$11/2*COS(RADIANS('Background calcs'!$G373))+J$85</f>
        <v>1627.9413480963485</v>
      </c>
      <c r="K373" s="1"/>
      <c r="L373" s="1">
        <f>'Geometry Calculator'!L$11/2*COS(RADIANS('Background calcs'!$G373))+L$85</f>
        <v>-98422.729007883347</v>
      </c>
      <c r="M373" s="1"/>
      <c r="N373" s="1">
        <f>'Geometry Calculator'!N$11/2*COS(RADIANS('Background calcs'!$G373))+N$85</f>
        <v>-98422.729007883347</v>
      </c>
      <c r="O373" s="1"/>
      <c r="P373" s="1">
        <f>'Geometry Calculator'!P$11/2*COS(RADIANS('Background calcs'!$G373))+P$85</f>
        <v>-98503.537480882092</v>
      </c>
      <c r="Q373" s="1"/>
      <c r="R373" s="1">
        <f>'Geometry Calculator'!R$11/2*COS(RADIANS('Background calcs'!$G373))+R$85</f>
        <v>-98472.576270613194</v>
      </c>
      <c r="S373" s="1"/>
      <c r="T373" s="1">
        <f>'Geometry Calculator'!T$11/2*COS(RADIANS('Background calcs'!$G373))+T$85</f>
        <v>-98447.96584574903</v>
      </c>
      <c r="U373" s="1"/>
      <c r="V373" s="1">
        <f>'Geometry Calculator'!V$11/2*COS(RADIANS('Background calcs'!$G373))+V$85</f>
        <v>-98431.434296060659</v>
      </c>
      <c r="W373" s="1"/>
      <c r="X373" s="1">
        <f>'Geometry Calculator'!X$11/2*COS(RADIANS('Background calcs'!$G373))+X$85</f>
        <v>-98443.606775022883</v>
      </c>
      <c r="Y373" s="1"/>
      <c r="Z373" s="1">
        <f>'Geometry Calculator'!Z$11/2*COS(RADIANS('Background calcs'!$G373))+Z$85</f>
        <v>-98426.591944274769</v>
      </c>
      <c r="AB373" s="159"/>
      <c r="AC373" s="1"/>
      <c r="AD373" s="1"/>
    </row>
    <row r="374" spans="6:30" x14ac:dyDescent="0.25">
      <c r="F374" t="s">
        <v>242</v>
      </c>
      <c r="G374">
        <v>350</v>
      </c>
      <c r="H374" s="1">
        <f>'Geometry Calculator'!H$11/2*COS(RADIANS('Background calcs'!$G374))+H$85</f>
        <v>1593.512399925291</v>
      </c>
      <c r="I374" s="1"/>
      <c r="J374" s="1">
        <f>'Geometry Calculator'!J$11/2*COS(RADIANS('Background calcs'!$G374))+J$85</f>
        <v>1635.0598344709722</v>
      </c>
      <c r="K374" s="1"/>
      <c r="L374" s="1">
        <f>'Geometry Calculator'!L$11/2*COS(RADIANS('Background calcs'!$G374))+L$85</f>
        <v>-98415.61052150873</v>
      </c>
      <c r="M374" s="1"/>
      <c r="N374" s="1">
        <f>'Geometry Calculator'!N$11/2*COS(RADIANS('Background calcs'!$G374))+N$85</f>
        <v>-98415.61052150873</v>
      </c>
      <c r="O374" s="1"/>
      <c r="P374" s="1">
        <f>'Geometry Calculator'!P$11/2*COS(RADIANS('Background calcs'!$G374))+P$85</f>
        <v>-98496.683341481592</v>
      </c>
      <c r="Q374" s="1"/>
      <c r="R374" s="1">
        <f>'Geometry Calculator'!R$11/2*COS(RADIANS('Background calcs'!$G374))+R$85</f>
        <v>-98465.504989055378</v>
      </c>
      <c r="S374" s="1"/>
      <c r="T374" s="1">
        <f>'Geometry Calculator'!T$11/2*COS(RADIANS('Background calcs'!$G374))+T$85</f>
        <v>-98440.94176900803</v>
      </c>
      <c r="U374" s="1"/>
      <c r="V374" s="1">
        <f>'Geometry Calculator'!V$11/2*COS(RADIANS('Background calcs'!$G374))+V$85</f>
        <v>-98424.41021931966</v>
      </c>
      <c r="W374" s="1"/>
      <c r="X374" s="1">
        <f>'Geometry Calculator'!X$11/2*COS(RADIANS('Background calcs'!$G374))+X$85</f>
        <v>-98436.384438051289</v>
      </c>
      <c r="Y374" s="1"/>
      <c r="Z374" s="1">
        <f>'Geometry Calculator'!Z$11/2*COS(RADIANS('Background calcs'!$G374))+Z$85</f>
        <v>-98419.369607303175</v>
      </c>
      <c r="AB374" s="159"/>
      <c r="AC374" s="1"/>
      <c r="AD374" s="1"/>
    </row>
    <row r="375" spans="6:30" x14ac:dyDescent="0.25">
      <c r="F375" t="s">
        <v>243</v>
      </c>
      <c r="G375">
        <v>355</v>
      </c>
      <c r="H375" s="1">
        <f>'Geometry Calculator'!H$11/2*COS(RADIANS('Background calcs'!$G375))+H$85</f>
        <v>1597.72556960472</v>
      </c>
      <c r="I375" s="1"/>
      <c r="J375" s="1">
        <f>'Geometry Calculator'!J$11/2*COS(RADIANS('Background calcs'!$G375))+J$85</f>
        <v>1639.3527127659577</v>
      </c>
      <c r="K375" s="1"/>
      <c r="L375" s="1">
        <f>'Geometry Calculator'!L$11/2*COS(RADIANS('Background calcs'!$G375))+L$85</f>
        <v>-98411.317643213741</v>
      </c>
      <c r="M375" s="1"/>
      <c r="N375" s="1">
        <f>'Geometry Calculator'!N$11/2*COS(RADIANS('Background calcs'!$G375))+N$85</f>
        <v>-98411.317643213741</v>
      </c>
      <c r="O375" s="1"/>
      <c r="P375" s="1">
        <f>'Geometry Calculator'!P$11/2*COS(RADIANS('Background calcs'!$G375))+P$85</f>
        <v>-98492.549880417719</v>
      </c>
      <c r="Q375" s="1"/>
      <c r="R375" s="1">
        <f>'Geometry Calculator'!R$11/2*COS(RADIANS('Background calcs'!$G375))+R$85</f>
        <v>-98461.240578123092</v>
      </c>
      <c r="S375" s="1"/>
      <c r="T375" s="1">
        <f>'Geometry Calculator'!T$11/2*COS(RADIANS('Background calcs'!$G375))+T$85</f>
        <v>-98436.705825438432</v>
      </c>
      <c r="U375" s="1"/>
      <c r="V375" s="1">
        <f>'Geometry Calculator'!V$11/2*COS(RADIANS('Background calcs'!$G375))+V$85</f>
        <v>-98420.174275750061</v>
      </c>
      <c r="W375" s="1"/>
      <c r="X375" s="1">
        <f>'Geometry Calculator'!X$11/2*COS(RADIANS('Background calcs'!$G375))+X$85</f>
        <v>-98432.028931558365</v>
      </c>
      <c r="Y375" s="1"/>
      <c r="Z375" s="1">
        <f>'Geometry Calculator'!Z$11/2*COS(RADIANS('Background calcs'!$G375))+Z$85</f>
        <v>-98415.014100810251</v>
      </c>
      <c r="AB375" s="159"/>
      <c r="AC375" s="1"/>
      <c r="AD375" s="1"/>
    </row>
    <row r="376" spans="6:30" x14ac:dyDescent="0.25">
      <c r="F376" t="s">
        <v>150</v>
      </c>
      <c r="G376">
        <v>360</v>
      </c>
      <c r="H376" s="1">
        <f>'Geometry Calculator'!H$11/2*COS(RADIANS('Background calcs'!$G376))+H$85</f>
        <v>1599.1335313107741</v>
      </c>
      <c r="I376" s="1"/>
      <c r="J376" s="1">
        <f>'Geometry Calculator'!J$11/2*COS(RADIANS('Background calcs'!$G376))+J$85</f>
        <v>1640.7873115853697</v>
      </c>
      <c r="K376" s="1"/>
      <c r="L376" s="1">
        <f>'Geometry Calculator'!L$11/2*COS(RADIANS('Background calcs'!$G376))+L$85</f>
        <v>-98409.88304439433</v>
      </c>
      <c r="M376" s="1"/>
      <c r="N376" s="1">
        <f>'Geometry Calculator'!N$11/2*COS(RADIANS('Background calcs'!$G376))+N$85</f>
        <v>-98409.88304439433</v>
      </c>
      <c r="O376" s="1"/>
      <c r="P376" s="1">
        <f>'Geometry Calculator'!P$11/2*COS(RADIANS('Background calcs'!$G376))+P$85</f>
        <v>-98491.168555825017</v>
      </c>
      <c r="Q376" s="1"/>
      <c r="R376" s="1">
        <f>'Geometry Calculator'!R$11/2*COS(RADIANS('Background calcs'!$G376))+R$85</f>
        <v>-98459.815492558453</v>
      </c>
      <c r="S376" s="1"/>
      <c r="T376" s="1">
        <f>'Geometry Calculator'!T$11/2*COS(RADIANS('Background calcs'!$G376))+T$85</f>
        <v>-98435.290253128565</v>
      </c>
      <c r="U376" s="1"/>
      <c r="V376" s="1">
        <f>'Geometry Calculator'!V$11/2*COS(RADIANS('Background calcs'!$G376))+V$85</f>
        <v>-98418.758703440195</v>
      </c>
      <c r="W376" s="1"/>
      <c r="X376" s="1">
        <f>'Geometry Calculator'!X$11/2*COS(RADIANS('Background calcs'!$G376))+X$85</f>
        <v>-98430.573403578455</v>
      </c>
      <c r="Y376" s="1"/>
      <c r="Z376" s="1">
        <f>'Geometry Calculator'!Z$11/2*COS(RADIANS('Background calcs'!$G376))+Z$85</f>
        <v>-98413.558572830341</v>
      </c>
      <c r="AB376" s="159"/>
      <c r="AC376" s="1"/>
      <c r="AD376" s="1"/>
    </row>
    <row r="378" spans="6:30" x14ac:dyDescent="0.25">
      <c r="F378" t="s">
        <v>151</v>
      </c>
      <c r="G378">
        <v>0</v>
      </c>
      <c r="H378" s="1">
        <f>'Geometry Calculator'!H$11/2*SIN(RADIANS('Background calcs'!$G378))+H$81</f>
        <v>0</v>
      </c>
      <c r="I378" s="1"/>
      <c r="J378" s="1">
        <f>'Geometry Calculator'!J$11/2*SIN(RADIANS('Background calcs'!$G378))+J$81</f>
        <v>6.9999999999999982</v>
      </c>
      <c r="K378" s="1"/>
      <c r="L378" s="1">
        <f>'Geometry Calculator'!L$11/2*SIN(RADIANS('Background calcs'!$G378))+L$81</f>
        <v>-100000</v>
      </c>
      <c r="M378" s="1"/>
      <c r="N378" s="1">
        <f>'Geometry Calculator'!N$11/2*SIN(RADIANS('Background calcs'!$G378))+N$81</f>
        <v>-100000</v>
      </c>
      <c r="O378" s="1"/>
      <c r="P378" s="1">
        <f>'Geometry Calculator'!P$11/2*SIN(RADIANS('Background calcs'!$G378))+P$81</f>
        <v>-100000</v>
      </c>
      <c r="Q378" s="1"/>
      <c r="R378" s="1">
        <f>'Geometry Calculator'!R$11/2*SIN(RADIANS('Background calcs'!$G378))+R$81</f>
        <v>-99988.5</v>
      </c>
      <c r="S378" s="1"/>
      <c r="T378" s="1">
        <f>'Geometry Calculator'!T$11/2*SIN(RADIANS('Background calcs'!$G378))+T$81</f>
        <v>-100000</v>
      </c>
      <c r="U378" s="1"/>
      <c r="V378" s="1">
        <f>'Geometry Calculator'!V$11/2*SIN(RADIANS('Background calcs'!$G378))+V$81</f>
        <v>-100000</v>
      </c>
      <c r="W378" s="1"/>
      <c r="X378" s="1">
        <f>'Geometry Calculator'!X$11/2*SIN(RADIANS('Background calcs'!$G378))+X$81</f>
        <v>-100000</v>
      </c>
      <c r="Y378" s="1"/>
      <c r="Z378" s="1">
        <f>'Geometry Calculator'!Z$11/2*SIN(RADIANS('Background calcs'!$G378))+Z$81</f>
        <v>-100000</v>
      </c>
      <c r="AB378" s="159"/>
      <c r="AC378" s="1"/>
      <c r="AD378" s="1"/>
    </row>
    <row r="379" spans="6:30" x14ac:dyDescent="0.25">
      <c r="F379" t="s">
        <v>244</v>
      </c>
      <c r="G379">
        <v>5</v>
      </c>
      <c r="H379" s="1">
        <f>'Geometry Calculator'!H$11/2*SIN(RADIANS('Background calcs'!$G379))+H$81</f>
        <v>32.247624816633518</v>
      </c>
      <c r="I379" s="1"/>
      <c r="J379" s="1">
        <f>'Geometry Calculator'!J$11/2*SIN(RADIANS('Background calcs'!$G379))+J$81</f>
        <v>39.857715015867129</v>
      </c>
      <c r="K379" s="1"/>
      <c r="L379" s="1">
        <f>'Geometry Calculator'!L$11/2*SIN(RADIANS('Background calcs'!$G379))+L$81</f>
        <v>-99967.142284984133</v>
      </c>
      <c r="M379" s="1"/>
      <c r="N379" s="1">
        <f>'Geometry Calculator'!N$11/2*SIN(RADIANS('Background calcs'!$G379))+N$81</f>
        <v>-99967.142284984133</v>
      </c>
      <c r="O379" s="1"/>
      <c r="P379" s="1">
        <f>'Geometry Calculator'!P$11/2*SIN(RADIANS('Background calcs'!$G379))+P$81</f>
        <v>-99968.362465382597</v>
      </c>
      <c r="Q379" s="1"/>
      <c r="R379" s="1">
        <f>'Geometry Calculator'!R$11/2*SIN(RADIANS('Background calcs'!$G379))+R$81</f>
        <v>-99955.860174340996</v>
      </c>
      <c r="S379" s="1"/>
      <c r="T379" s="1">
        <f>'Geometry Calculator'!T$11/2*SIN(RADIANS('Background calcs'!$G379))+T$81</f>
        <v>-99967.578063697874</v>
      </c>
      <c r="U379" s="1"/>
      <c r="V379" s="1">
        <f>'Geometry Calculator'!V$11/2*SIN(RADIANS('Background calcs'!$G379))+V$81</f>
        <v>-99967.578063697874</v>
      </c>
      <c r="W379" s="1"/>
      <c r="X379" s="1">
        <f>'Geometry Calculator'!X$11/2*SIN(RADIANS('Background calcs'!$G379))+X$81</f>
        <v>-99966.662928399019</v>
      </c>
      <c r="Y379" s="1"/>
      <c r="Z379" s="1">
        <f>'Geometry Calculator'!Z$11/2*SIN(RADIANS('Background calcs'!$G379))+Z$81</f>
        <v>-99966.662928399019</v>
      </c>
      <c r="AB379" s="159"/>
      <c r="AC379" s="1"/>
      <c r="AD379" s="1"/>
    </row>
    <row r="380" spans="6:30" x14ac:dyDescent="0.25">
      <c r="F380" t="s">
        <v>245</v>
      </c>
      <c r="G380">
        <v>10</v>
      </c>
      <c r="H380" s="1">
        <f>'Geometry Calculator'!H$11/2*SIN(RADIANS('Background calcs'!$G380))+H$81</f>
        <v>64.249825736764222</v>
      </c>
      <c r="I380" s="1"/>
      <c r="J380" s="1">
        <f>'Geometry Calculator'!J$11/2*SIN(RADIANS('Background calcs'!$G380))+J$81</f>
        <v>72.46536298043273</v>
      </c>
      <c r="K380" s="1"/>
      <c r="L380" s="1">
        <f>'Geometry Calculator'!L$11/2*SIN(RADIANS('Background calcs'!$G380))+L$81</f>
        <v>-99934.534637019562</v>
      </c>
      <c r="M380" s="1"/>
      <c r="N380" s="1">
        <f>'Geometry Calculator'!N$11/2*SIN(RADIANS('Background calcs'!$G380))+N$81</f>
        <v>-99934.534637019562</v>
      </c>
      <c r="O380" s="1"/>
      <c r="P380" s="1">
        <f>'Geometry Calculator'!P$11/2*SIN(RADIANS('Background calcs'!$G380))+P$81</f>
        <v>-99936.965711506899</v>
      </c>
      <c r="Q380" s="1"/>
      <c r="R380" s="1">
        <f>'Geometry Calculator'!R$11/2*SIN(RADIANS('Background calcs'!$G380))+R$81</f>
        <v>-99923.468757463736</v>
      </c>
      <c r="S380" s="1"/>
      <c r="T380" s="1">
        <f>'Geometry Calculator'!T$11/2*SIN(RADIANS('Background calcs'!$G380))+T$81</f>
        <v>-99935.402877907909</v>
      </c>
      <c r="U380" s="1"/>
      <c r="V380" s="1">
        <f>'Geometry Calculator'!V$11/2*SIN(RADIANS('Background calcs'!$G380))+V$81</f>
        <v>-99935.402877907909</v>
      </c>
      <c r="W380" s="1"/>
      <c r="X380" s="1">
        <f>'Geometry Calculator'!X$11/2*SIN(RADIANS('Background calcs'!$G380))+X$81</f>
        <v>-99933.579572042392</v>
      </c>
      <c r="Y380" s="1"/>
      <c r="Z380" s="1">
        <f>'Geometry Calculator'!Z$11/2*SIN(RADIANS('Background calcs'!$G380))+Z$81</f>
        <v>-99933.579572042392</v>
      </c>
      <c r="AB380" s="159"/>
      <c r="AC380" s="1"/>
      <c r="AD380" s="1"/>
    </row>
    <row r="381" spans="6:30" x14ac:dyDescent="0.25">
      <c r="F381" t="s">
        <v>152</v>
      </c>
      <c r="G381">
        <v>15</v>
      </c>
      <c r="H381" s="1">
        <f>'Geometry Calculator'!H$11/2*SIN(RADIANS('Background calcs'!$G381))+H$81</f>
        <v>95.763046687932672</v>
      </c>
      <c r="I381" s="1"/>
      <c r="J381" s="1">
        <f>'Geometry Calculator'!J$11/2*SIN(RADIANS('Background calcs'!$G381))+J$81</f>
        <v>104.57478000365032</v>
      </c>
      <c r="K381" s="1"/>
      <c r="L381" s="1">
        <f>'Geometry Calculator'!L$11/2*SIN(RADIANS('Background calcs'!$G381))+L$81</f>
        <v>-99902.425219996352</v>
      </c>
      <c r="M381" s="1"/>
      <c r="N381" s="1">
        <f>'Geometry Calculator'!N$11/2*SIN(RADIANS('Background calcs'!$G381))+N$81</f>
        <v>-99902.425219996352</v>
      </c>
      <c r="O381" s="1"/>
      <c r="P381" s="1">
        <f>'Geometry Calculator'!P$11/2*SIN(RADIANS('Background calcs'!$G381))+P$81</f>
        <v>-99906.048686627779</v>
      </c>
      <c r="Q381" s="1"/>
      <c r="R381" s="1">
        <f>'Geometry Calculator'!R$11/2*SIN(RADIANS('Background calcs'!$G381))+R$81</f>
        <v>-99891.57226760911</v>
      </c>
      <c r="S381" s="1"/>
      <c r="T381" s="1">
        <f>'Geometry Calculator'!T$11/2*SIN(RADIANS('Background calcs'!$G381))+T$81</f>
        <v>-99903.719315221868</v>
      </c>
      <c r="U381" s="1"/>
      <c r="V381" s="1">
        <f>'Geometry Calculator'!V$11/2*SIN(RADIANS('Background calcs'!$G381))+V$81</f>
        <v>-99903.719315221868</v>
      </c>
      <c r="W381" s="1"/>
      <c r="X381" s="1">
        <f>'Geometry Calculator'!X$11/2*SIN(RADIANS('Background calcs'!$G381))+X$81</f>
        <v>-99901.001715248291</v>
      </c>
      <c r="Y381" s="1"/>
      <c r="Z381" s="1">
        <f>'Geometry Calculator'!Z$11/2*SIN(RADIANS('Background calcs'!$G381))+Z$81</f>
        <v>-99901.001715248291</v>
      </c>
      <c r="AB381" s="159"/>
      <c r="AC381" s="1"/>
      <c r="AD381" s="1"/>
    </row>
    <row r="382" spans="6:30" x14ac:dyDescent="0.25">
      <c r="F382" t="s">
        <v>246</v>
      </c>
      <c r="G382">
        <v>20</v>
      </c>
      <c r="H382" s="1">
        <f>'Geometry Calculator'!H$11/2*SIN(RADIANS('Background calcs'!$G382))+H$81</f>
        <v>126.54745303049742</v>
      </c>
      <c r="I382" s="1"/>
      <c r="J382" s="1">
        <f>'Geometry Calculator'!J$11/2*SIN(RADIANS('Background calcs'!$G382))+J$81</f>
        <v>135.94159403377711</v>
      </c>
      <c r="K382" s="1"/>
      <c r="L382" s="1">
        <f>'Geometry Calculator'!L$11/2*SIN(RADIANS('Background calcs'!$G382))+L$81</f>
        <v>-99871.058405966221</v>
      </c>
      <c r="M382" s="1"/>
      <c r="N382" s="1">
        <f>'Geometry Calculator'!N$11/2*SIN(RADIANS('Background calcs'!$G382))+N$81</f>
        <v>-99871.058405966221</v>
      </c>
      <c r="O382" s="1"/>
      <c r="P382" s="1">
        <f>'Geometry Calculator'!P$11/2*SIN(RADIANS('Background calcs'!$G382))+P$81</f>
        <v>-99875.846687972778</v>
      </c>
      <c r="Q382" s="1"/>
      <c r="R382" s="1">
        <f>'Geometry Calculator'!R$11/2*SIN(RADIANS('Background calcs'!$G382))+R$81</f>
        <v>-99860.413456324532</v>
      </c>
      <c r="S382" s="1"/>
      <c r="T382" s="1">
        <f>'Geometry Calculator'!T$11/2*SIN(RADIANS('Background calcs'!$G382))+T$81</f>
        <v>-99872.768506682856</v>
      </c>
      <c r="U382" s="1"/>
      <c r="V382" s="1">
        <f>'Geometry Calculator'!V$11/2*SIN(RADIANS('Background calcs'!$G382))+V$81</f>
        <v>-99872.768506682856</v>
      </c>
      <c r="W382" s="1"/>
      <c r="X382" s="1">
        <f>'Geometry Calculator'!X$11/2*SIN(RADIANS('Background calcs'!$G382))+X$81</f>
        <v>-99869.177295177928</v>
      </c>
      <c r="Y382" s="1"/>
      <c r="Z382" s="1">
        <f>'Geometry Calculator'!Z$11/2*SIN(RADIANS('Background calcs'!$G382))+Z$81</f>
        <v>-99869.177295177928</v>
      </c>
      <c r="AB382" s="159"/>
      <c r="AC382" s="1"/>
      <c r="AD382" s="1"/>
    </row>
    <row r="383" spans="6:30" x14ac:dyDescent="0.25">
      <c r="F383" t="s">
        <v>247</v>
      </c>
      <c r="G383">
        <v>25</v>
      </c>
      <c r="H383" s="1">
        <f>'Geometry Calculator'!H$11/2*SIN(RADIANS('Background calcs'!$G383))+H$81</f>
        <v>156.36875684405879</v>
      </c>
      <c r="I383" s="1"/>
      <c r="J383" s="1">
        <f>'Geometry Calculator'!J$11/2*SIN(RADIANS('Background calcs'!$G383))+J$81</f>
        <v>166.32708467624369</v>
      </c>
      <c r="K383" s="1"/>
      <c r="L383" s="1">
        <f>'Geometry Calculator'!L$11/2*SIN(RADIANS('Background calcs'!$G383))+L$81</f>
        <v>-99840.672915323754</v>
      </c>
      <c r="M383" s="1"/>
      <c r="N383" s="1">
        <f>'Geometry Calculator'!N$11/2*SIN(RADIANS('Background calcs'!$G383))+N$81</f>
        <v>-99840.672915323754</v>
      </c>
      <c r="O383" s="1"/>
      <c r="P383" s="1">
        <f>'Geometry Calculator'!P$11/2*SIN(RADIANS('Background calcs'!$G383))+P$81</f>
        <v>-99846.58957098813</v>
      </c>
      <c r="Q383" s="1"/>
      <c r="R383" s="1">
        <f>'Geometry Calculator'!R$11/2*SIN(RADIANS('Background calcs'!$G383))+R$81</f>
        <v>-99830.229460978109</v>
      </c>
      <c r="S383" s="1"/>
      <c r="T383" s="1">
        <f>'Geometry Calculator'!T$11/2*SIN(RADIANS('Background calcs'!$G383))+T$81</f>
        <v>-99842.786006632465</v>
      </c>
      <c r="U383" s="1"/>
      <c r="V383" s="1">
        <f>'Geometry Calculator'!V$11/2*SIN(RADIANS('Background calcs'!$G383))+V$81</f>
        <v>-99842.786006632465</v>
      </c>
      <c r="W383" s="1"/>
      <c r="X383" s="1">
        <f>'Geometry Calculator'!X$11/2*SIN(RADIANS('Background calcs'!$G383))+X$81</f>
        <v>-99838.348514884186</v>
      </c>
      <c r="Y383" s="1"/>
      <c r="Z383" s="1">
        <f>'Geometry Calculator'!Z$11/2*SIN(RADIANS('Background calcs'!$G383))+Z$81</f>
        <v>-99838.348514884186</v>
      </c>
      <c r="AB383" s="159"/>
      <c r="AC383" s="1"/>
      <c r="AD383" s="1"/>
    </row>
    <row r="384" spans="6:30" x14ac:dyDescent="0.25">
      <c r="F384" t="s">
        <v>153</v>
      </c>
      <c r="G384">
        <v>30</v>
      </c>
      <c r="H384" s="1">
        <f>'Geometry Calculator'!H$11/2*SIN(RADIANS('Background calcs'!$G384))+H$81</f>
        <v>184.99999999999997</v>
      </c>
      <c r="I384" s="1"/>
      <c r="J384" s="1">
        <f>'Geometry Calculator'!J$11/2*SIN(RADIANS('Background calcs'!$G384))+J$81</f>
        <v>195.49999999999997</v>
      </c>
      <c r="K384" s="1"/>
      <c r="L384" s="1">
        <f>'Geometry Calculator'!L$11/2*SIN(RADIANS('Background calcs'!$G384))+L$81</f>
        <v>-99811.5</v>
      </c>
      <c r="M384" s="1"/>
      <c r="N384" s="1">
        <f>'Geometry Calculator'!N$11/2*SIN(RADIANS('Background calcs'!$G384))+N$81</f>
        <v>-99811.5</v>
      </c>
      <c r="O384" s="1"/>
      <c r="P384" s="1">
        <f>'Geometry Calculator'!P$11/2*SIN(RADIANS('Background calcs'!$G384))+P$81</f>
        <v>-99818.5</v>
      </c>
      <c r="Q384" s="1"/>
      <c r="R384" s="1">
        <f>'Geometry Calculator'!R$11/2*SIN(RADIANS('Background calcs'!$G384))+R$81</f>
        <v>-99801.25</v>
      </c>
      <c r="S384" s="1"/>
      <c r="T384" s="1">
        <f>'Geometry Calculator'!T$11/2*SIN(RADIANS('Background calcs'!$G384))+T$81</f>
        <v>-99814</v>
      </c>
      <c r="U384" s="1"/>
      <c r="V384" s="1">
        <f>'Geometry Calculator'!V$11/2*SIN(RADIANS('Background calcs'!$G384))+V$81</f>
        <v>-99814</v>
      </c>
      <c r="W384" s="1"/>
      <c r="X384" s="1">
        <f>'Geometry Calculator'!X$11/2*SIN(RADIANS('Background calcs'!$G384))+X$81</f>
        <v>-99808.75</v>
      </c>
      <c r="Y384" s="1"/>
      <c r="Z384" s="1">
        <f>'Geometry Calculator'!Z$11/2*SIN(RADIANS('Background calcs'!$G384))+Z$81</f>
        <v>-99808.75</v>
      </c>
      <c r="AB384" s="159"/>
      <c r="AC384" s="1"/>
      <c r="AD384" s="1"/>
    </row>
    <row r="385" spans="6:30" x14ac:dyDescent="0.25">
      <c r="F385" t="s">
        <v>248</v>
      </c>
      <c r="G385">
        <v>35</v>
      </c>
      <c r="H385" s="1">
        <f>'Geometry Calculator'!H$11/2*SIN(RADIANS('Background calcs'!$G385))+H$81</f>
        <v>212.22328144988703</v>
      </c>
      <c r="I385" s="1"/>
      <c r="J385" s="1">
        <f>'Geometry Calculator'!J$11/2*SIN(RADIANS('Background calcs'!$G385))+J$81</f>
        <v>223.23831650434437</v>
      </c>
      <c r="K385" s="1"/>
      <c r="L385" s="1">
        <f>'Geometry Calculator'!L$11/2*SIN(RADIANS('Background calcs'!$G385))+L$81</f>
        <v>-99783.761683495657</v>
      </c>
      <c r="M385" s="1"/>
      <c r="N385" s="1">
        <f>'Geometry Calculator'!N$11/2*SIN(RADIANS('Background calcs'!$G385))+N$81</f>
        <v>-99783.761683495657</v>
      </c>
      <c r="O385" s="1"/>
      <c r="P385" s="1">
        <f>'Geometry Calculator'!P$11/2*SIN(RADIANS('Background calcs'!$G385))+P$81</f>
        <v>-99791.791753604572</v>
      </c>
      <c r="Q385" s="1"/>
      <c r="R385" s="1">
        <f>'Geometry Calculator'!R$11/2*SIN(RADIANS('Background calcs'!$G385))+R$81</f>
        <v>-99773.695624586529</v>
      </c>
      <c r="S385" s="1"/>
      <c r="T385" s="1">
        <f>'Geometry Calculator'!T$11/2*SIN(RADIANS('Background calcs'!$G385))+T$81</f>
        <v>-99786.629565677416</v>
      </c>
      <c r="U385" s="1"/>
      <c r="V385" s="1">
        <f>'Geometry Calculator'!V$11/2*SIN(RADIANS('Background calcs'!$G385))+V$81</f>
        <v>-99786.629565677416</v>
      </c>
      <c r="W385" s="1"/>
      <c r="X385" s="1">
        <f>'Geometry Calculator'!X$11/2*SIN(RADIANS('Background calcs'!$G385))+X$81</f>
        <v>-99780.607013095723</v>
      </c>
      <c r="Y385" s="1"/>
      <c r="Z385" s="1">
        <f>'Geometry Calculator'!Z$11/2*SIN(RADIANS('Background calcs'!$G385))+Z$81</f>
        <v>-99780.607013095723</v>
      </c>
      <c r="AB385" s="159"/>
      <c r="AC385" s="1"/>
      <c r="AD385" s="1"/>
    </row>
    <row r="386" spans="6:30" x14ac:dyDescent="0.25">
      <c r="F386" t="s">
        <v>249</v>
      </c>
      <c r="G386">
        <v>40</v>
      </c>
      <c r="H386" s="1">
        <f>'Geometry Calculator'!H$11/2*SIN(RADIANS('Background calcs'!$G386))+H$81</f>
        <v>237.83141558401951</v>
      </c>
      <c r="I386" s="1"/>
      <c r="J386" s="1">
        <f>'Geometry Calculator'!J$11/2*SIN(RADIANS('Background calcs'!$G386))+J$81</f>
        <v>249.33092885182529</v>
      </c>
      <c r="K386" s="1"/>
      <c r="L386" s="1">
        <f>'Geometry Calculator'!L$11/2*SIN(RADIANS('Background calcs'!$G386))+L$81</f>
        <v>-99757.669071148179</v>
      </c>
      <c r="M386" s="1"/>
      <c r="N386" s="1">
        <f>'Geometry Calculator'!N$11/2*SIN(RADIANS('Background calcs'!$G386))+N$81</f>
        <v>-99757.669071148179</v>
      </c>
      <c r="O386" s="1"/>
      <c r="P386" s="1">
        <f>'Geometry Calculator'!P$11/2*SIN(RADIANS('Background calcs'!$G386))+P$81</f>
        <v>-99766.668097683782</v>
      </c>
      <c r="Q386" s="1"/>
      <c r="R386" s="1">
        <f>'Geometry Calculator'!R$11/2*SIN(RADIANS('Background calcs'!$G386))+R$81</f>
        <v>-99747.776040172394</v>
      </c>
      <c r="S386" s="1"/>
      <c r="T386" s="1">
        <f>'Geometry Calculator'!T$11/2*SIN(RADIANS('Background calcs'!$G386))+T$81</f>
        <v>-99760.883009196608</v>
      </c>
      <c r="U386" s="1"/>
      <c r="V386" s="1">
        <f>'Geometry Calculator'!V$11/2*SIN(RADIANS('Background calcs'!$G386))+V$81</f>
        <v>-99760.883009196608</v>
      </c>
      <c r="W386" s="1"/>
      <c r="X386" s="1">
        <f>'Geometry Calculator'!X$11/2*SIN(RADIANS('Background calcs'!$G386))+X$81</f>
        <v>-99754.133739294892</v>
      </c>
      <c r="Y386" s="1"/>
      <c r="Z386" s="1">
        <f>'Geometry Calculator'!Z$11/2*SIN(RADIANS('Background calcs'!$G386))+Z$81</f>
        <v>-99754.133739294892</v>
      </c>
      <c r="AB386" s="159"/>
      <c r="AC386" s="1"/>
      <c r="AD386" s="1"/>
    </row>
    <row r="387" spans="6:30" x14ac:dyDescent="0.25">
      <c r="F387" t="s">
        <v>154</v>
      </c>
      <c r="G387">
        <v>45</v>
      </c>
      <c r="H387" s="1">
        <f>'Geometry Calculator'!H$11/2*SIN(RADIANS('Background calcs'!$G387))+H$81</f>
        <v>261.62950903902254</v>
      </c>
      <c r="I387" s="1"/>
      <c r="J387" s="1">
        <f>'Geometry Calculator'!J$11/2*SIN(RADIANS('Background calcs'!$G387))+J$81</f>
        <v>273.57925650732841</v>
      </c>
      <c r="K387" s="1"/>
      <c r="L387" s="1">
        <f>'Geometry Calculator'!L$11/2*SIN(RADIANS('Background calcs'!$G387))+L$81</f>
        <v>-99733.420743492665</v>
      </c>
      <c r="M387" s="1"/>
      <c r="N387" s="1">
        <f>'Geometry Calculator'!N$11/2*SIN(RADIANS('Background calcs'!$G387))+N$81</f>
        <v>-99733.420743492665</v>
      </c>
      <c r="O387" s="1"/>
      <c r="P387" s="1">
        <f>'Geometry Calculator'!P$11/2*SIN(RADIANS('Background calcs'!$G387))+P$81</f>
        <v>-99743.320238429282</v>
      </c>
      <c r="Q387" s="1"/>
      <c r="R387" s="1">
        <f>'Geometry Calculator'!R$11/2*SIN(RADIANS('Background calcs'!$G387))+R$81</f>
        <v>-99723.688510445645</v>
      </c>
      <c r="S387" s="1"/>
      <c r="T387" s="1">
        <f>'Geometry Calculator'!T$11/2*SIN(RADIANS('Background calcs'!$G387))+T$81</f>
        <v>-99736.956277398611</v>
      </c>
      <c r="U387" s="1"/>
      <c r="V387" s="1">
        <f>'Geometry Calculator'!V$11/2*SIN(RADIANS('Background calcs'!$G387))+V$81</f>
        <v>-99736.956277398611</v>
      </c>
      <c r="W387" s="1"/>
      <c r="X387" s="1">
        <f>'Geometry Calculator'!X$11/2*SIN(RADIANS('Background calcs'!$G387))+X$81</f>
        <v>-99729.531656196152</v>
      </c>
      <c r="Y387" s="1"/>
      <c r="Z387" s="1">
        <f>'Geometry Calculator'!Z$11/2*SIN(RADIANS('Background calcs'!$G387))+Z$81</f>
        <v>-99729.531656196152</v>
      </c>
      <c r="AB387" s="159"/>
      <c r="AC387" s="1"/>
      <c r="AD387" s="1"/>
    </row>
    <row r="388" spans="6:30" x14ac:dyDescent="0.25">
      <c r="F388" t="s">
        <v>250</v>
      </c>
      <c r="G388">
        <v>50</v>
      </c>
      <c r="H388" s="1">
        <f>'Geometry Calculator'!H$11/2*SIN(RADIANS('Background calcs'!$G388))+H$81</f>
        <v>283.43644395402185</v>
      </c>
      <c r="I388" s="1"/>
      <c r="J388" s="1">
        <f>'Geometry Calculator'!J$11/2*SIN(RADIANS('Background calcs'!$G388))+J$81</f>
        <v>295.79875505585471</v>
      </c>
      <c r="K388" s="1"/>
      <c r="L388" s="1">
        <f>'Geometry Calculator'!L$11/2*SIN(RADIANS('Background calcs'!$G388))+L$81</f>
        <v>-99711.201244944139</v>
      </c>
      <c r="M388" s="1"/>
      <c r="N388" s="1">
        <f>'Geometry Calculator'!N$11/2*SIN(RADIANS('Background calcs'!$G388))+N$81</f>
        <v>-99711.201244944139</v>
      </c>
      <c r="O388" s="1"/>
      <c r="P388" s="1">
        <f>'Geometry Calculator'!P$11/2*SIN(RADIANS('Background calcs'!$G388))+P$81</f>
        <v>-99721.925867147816</v>
      </c>
      <c r="Q388" s="1"/>
      <c r="R388" s="1">
        <f>'Geometry Calculator'!R$11/2*SIN(RADIANS('Background calcs'!$G388))+R$81</f>
        <v>-99701.616356051949</v>
      </c>
      <c r="S388" s="1"/>
      <c r="T388" s="1">
        <f>'Geometry Calculator'!T$11/2*SIN(RADIANS('Background calcs'!$G388))+T$81</f>
        <v>-99715.031467159744</v>
      </c>
      <c r="U388" s="1"/>
      <c r="V388" s="1">
        <f>'Geometry Calculator'!V$11/2*SIN(RADIANS('Background calcs'!$G388))+V$81</f>
        <v>-99715.031467159744</v>
      </c>
      <c r="W388" s="1"/>
      <c r="X388" s="1">
        <f>'Geometry Calculator'!X$11/2*SIN(RADIANS('Background calcs'!$G388))+X$81</f>
        <v>-99706.988000506986</v>
      </c>
      <c r="Y388" s="1"/>
      <c r="Z388" s="1">
        <f>'Geometry Calculator'!Z$11/2*SIN(RADIANS('Background calcs'!$G388))+Z$81</f>
        <v>-99706.988000506986</v>
      </c>
      <c r="AB388" s="159"/>
      <c r="AC388" s="1"/>
      <c r="AD388" s="1"/>
    </row>
    <row r="389" spans="6:30" x14ac:dyDescent="0.25">
      <c r="F389" t="s">
        <v>251</v>
      </c>
      <c r="G389">
        <v>55</v>
      </c>
      <c r="H389" s="1">
        <f>'Geometry Calculator'!H$11/2*SIN(RADIANS('Background calcs'!$G389))+H$81</f>
        <v>303.08625638692695</v>
      </c>
      <c r="I389" s="1"/>
      <c r="J389" s="1">
        <f>'Geometry Calculator'!J$11/2*SIN(RADIANS('Background calcs'!$G389))+J$81</f>
        <v>315.82032069694992</v>
      </c>
      <c r="K389" s="1"/>
      <c r="L389" s="1">
        <f>'Geometry Calculator'!L$11/2*SIN(RADIANS('Background calcs'!$G389))+L$81</f>
        <v>-99691.179679303052</v>
      </c>
      <c r="M389" s="1"/>
      <c r="N389" s="1">
        <f>'Geometry Calculator'!N$11/2*SIN(RADIANS('Background calcs'!$G389))+N$81</f>
        <v>-99691.179679303052</v>
      </c>
      <c r="O389" s="1"/>
      <c r="P389" s="1">
        <f>'Geometry Calculator'!P$11/2*SIN(RADIANS('Background calcs'!$G389))+P$81</f>
        <v>-99702.647807923102</v>
      </c>
      <c r="Q389" s="1"/>
      <c r="R389" s="1">
        <f>'Geometry Calculator'!R$11/2*SIN(RADIANS('Background calcs'!$G389))+R$81</f>
        <v>-99681.727559413775</v>
      </c>
      <c r="S389" s="1"/>
      <c r="T389" s="1">
        <f>'Geometry Calculator'!T$11/2*SIN(RADIANS('Background calcs'!$G389))+T$81</f>
        <v>-99695.275439524499</v>
      </c>
      <c r="U389" s="1"/>
      <c r="V389" s="1">
        <f>'Geometry Calculator'!V$11/2*SIN(RADIANS('Background calcs'!$G389))+V$81</f>
        <v>-99695.275439524499</v>
      </c>
      <c r="W389" s="1"/>
      <c r="X389" s="1">
        <f>'Geometry Calculator'!X$11/2*SIN(RADIANS('Background calcs'!$G389))+X$81</f>
        <v>-99686.674343059465</v>
      </c>
      <c r="Y389" s="1"/>
      <c r="Z389" s="1">
        <f>'Geometry Calculator'!Z$11/2*SIN(RADIANS('Background calcs'!$G389))+Z$81</f>
        <v>-99686.674343059465</v>
      </c>
      <c r="AB389" s="159"/>
      <c r="AC389" s="1"/>
      <c r="AD389" s="1"/>
    </row>
    <row r="390" spans="6:30" x14ac:dyDescent="0.25">
      <c r="F390" t="s">
        <v>155</v>
      </c>
      <c r="G390">
        <v>60</v>
      </c>
      <c r="H390" s="1">
        <f>'Geometry Calculator'!H$11/2*SIN(RADIANS('Background calcs'!$G390))+H$81</f>
        <v>320.42939940024229</v>
      </c>
      <c r="I390" s="1"/>
      <c r="J390" s="1">
        <f>'Geometry Calculator'!J$11/2*SIN(RADIANS('Background calcs'!$G390))+J$81</f>
        <v>333.49157722673334</v>
      </c>
      <c r="K390" s="1"/>
      <c r="L390" s="1">
        <f>'Geometry Calculator'!L$11/2*SIN(RADIANS('Background calcs'!$G390))+L$81</f>
        <v>-99673.508422773273</v>
      </c>
      <c r="M390" s="1"/>
      <c r="N390" s="1">
        <f>'Geometry Calculator'!N$11/2*SIN(RADIANS('Background calcs'!$G390))+N$81</f>
        <v>-99673.508422773273</v>
      </c>
      <c r="O390" s="1"/>
      <c r="P390" s="1">
        <f>'Geometry Calculator'!P$11/2*SIN(RADIANS('Background calcs'!$G390))+P$81</f>
        <v>-99685.632778426254</v>
      </c>
      <c r="Q390" s="1"/>
      <c r="R390" s="1">
        <f>'Geometry Calculator'!R$11/2*SIN(RADIANS('Background calcs'!$G390))+R$81</f>
        <v>-99664.173486282729</v>
      </c>
      <c r="S390" s="1"/>
      <c r="T390" s="1">
        <f>'Geometry Calculator'!T$11/2*SIN(RADIANS('Background calcs'!$G390))+T$81</f>
        <v>-99677.838549792184</v>
      </c>
      <c r="U390" s="1"/>
      <c r="V390" s="1">
        <f>'Geometry Calculator'!V$11/2*SIN(RADIANS('Background calcs'!$G390))+V$81</f>
        <v>-99677.838549792184</v>
      </c>
      <c r="W390" s="1"/>
      <c r="X390" s="1">
        <f>'Geometry Calculator'!X$11/2*SIN(RADIANS('Background calcs'!$G390))+X$81</f>
        <v>-99668.745283052456</v>
      </c>
      <c r="Y390" s="1"/>
      <c r="Z390" s="1">
        <f>'Geometry Calculator'!Z$11/2*SIN(RADIANS('Background calcs'!$G390))+Z$81</f>
        <v>-99668.745283052456</v>
      </c>
      <c r="AB390" s="159"/>
      <c r="AC390" s="1"/>
      <c r="AD390" s="1"/>
    </row>
    <row r="391" spans="6:30" x14ac:dyDescent="0.25">
      <c r="F391" t="s">
        <v>252</v>
      </c>
      <c r="G391">
        <v>65</v>
      </c>
      <c r="H391" s="1">
        <f>'Geometry Calculator'!H$11/2*SIN(RADIANS('Background calcs'!$G391))+H$81</f>
        <v>335.33388120356045</v>
      </c>
      <c r="I391" s="1"/>
      <c r="J391" s="1">
        <f>'Geometry Calculator'!J$11/2*SIN(RADIANS('Background calcs'!$G391))+J$81</f>
        <v>348.67803571281701</v>
      </c>
      <c r="K391" s="1"/>
      <c r="L391" s="1">
        <f>'Geometry Calculator'!L$11/2*SIN(RADIANS('Background calcs'!$G391))+L$81</f>
        <v>-99658.321964287185</v>
      </c>
      <c r="M391" s="1"/>
      <c r="N391" s="1">
        <f>'Geometry Calculator'!N$11/2*SIN(RADIANS('Background calcs'!$G391))+N$81</f>
        <v>-99658.321964287185</v>
      </c>
      <c r="O391" s="1"/>
      <c r="P391" s="1">
        <f>'Geometry Calculator'!P$11/2*SIN(RADIANS('Background calcs'!$G391))+P$81</f>
        <v>-99671.010273305699</v>
      </c>
      <c r="Q391" s="1"/>
      <c r="R391" s="1">
        <f>'Geometry Calculator'!R$11/2*SIN(RADIANS('Background calcs'!$G391))+R$81</f>
        <v>-99649.087733754772</v>
      </c>
      <c r="S391" s="1"/>
      <c r="T391" s="1">
        <f>'Geometry Calculator'!T$11/2*SIN(RADIANS('Background calcs'!$G391))+T$81</f>
        <v>-99662.853503222359</v>
      </c>
      <c r="U391" s="1"/>
      <c r="V391" s="1">
        <f>'Geometry Calculator'!V$11/2*SIN(RADIANS('Background calcs'!$G391))+V$81</f>
        <v>-99662.853503222359</v>
      </c>
      <c r="W391" s="1"/>
      <c r="X391" s="1">
        <f>'Geometry Calculator'!X$11/2*SIN(RADIANS('Background calcs'!$G391))+X$81</f>
        <v>-99653.337271458484</v>
      </c>
      <c r="Y391" s="1"/>
      <c r="Z391" s="1">
        <f>'Geometry Calculator'!Z$11/2*SIN(RADIANS('Background calcs'!$G391))+Z$81</f>
        <v>-99653.337271458484</v>
      </c>
      <c r="AB391" s="159"/>
      <c r="AC391" s="1"/>
      <c r="AD391" s="1"/>
    </row>
    <row r="392" spans="6:30" x14ac:dyDescent="0.25">
      <c r="F392" t="s">
        <v>253</v>
      </c>
      <c r="G392">
        <v>70</v>
      </c>
      <c r="H392" s="1">
        <f>'Geometry Calculator'!H$11/2*SIN(RADIANS('Background calcs'!$G392))+H$81</f>
        <v>347.68626969078611</v>
      </c>
      <c r="I392" s="1"/>
      <c r="J392" s="1">
        <f>'Geometry Calculator'!J$11/2*SIN(RADIANS('Background calcs'!$G392))+J$81</f>
        <v>361.26411803628741</v>
      </c>
      <c r="K392" s="1"/>
      <c r="L392" s="1">
        <f>'Geometry Calculator'!L$11/2*SIN(RADIANS('Background calcs'!$G392))+L$81</f>
        <v>-99645.735881963716</v>
      </c>
      <c r="M392" s="1"/>
      <c r="N392" s="1">
        <f>'Geometry Calculator'!N$11/2*SIN(RADIANS('Background calcs'!$G392))+N$81</f>
        <v>-99645.735881963716</v>
      </c>
      <c r="O392" s="1"/>
      <c r="P392" s="1">
        <f>'Geometry Calculator'!P$11/2*SIN(RADIANS('Background calcs'!$G392))+P$81</f>
        <v>-99658.891578654715</v>
      </c>
      <c r="Q392" s="1"/>
      <c r="R392" s="1">
        <f>'Geometry Calculator'!R$11/2*SIN(RADIANS('Background calcs'!$G392))+R$81</f>
        <v>-99636.585113515684</v>
      </c>
      <c r="S392" s="1"/>
      <c r="T392" s="1">
        <f>'Geometry Calculator'!T$11/2*SIN(RADIANS('Background calcs'!$G392))+T$81</f>
        <v>-99650.434345067639</v>
      </c>
      <c r="U392" s="1"/>
      <c r="V392" s="1">
        <f>'Geometry Calculator'!V$11/2*SIN(RADIANS('Background calcs'!$G392))+V$81</f>
        <v>-99650.434345067639</v>
      </c>
      <c r="W392" s="1"/>
      <c r="X392" s="1">
        <f>'Geometry Calculator'!X$11/2*SIN(RADIANS('Background calcs'!$G392))+X$81</f>
        <v>-99640.567572549393</v>
      </c>
      <c r="Y392" s="1"/>
      <c r="Z392" s="1">
        <f>'Geometry Calculator'!Z$11/2*SIN(RADIANS('Background calcs'!$G392))+Z$81</f>
        <v>-99640.567572549393</v>
      </c>
      <c r="AB392" s="159"/>
      <c r="AC392" s="1"/>
      <c r="AD392" s="1"/>
    </row>
    <row r="393" spans="6:30" x14ac:dyDescent="0.25">
      <c r="F393" t="s">
        <v>156</v>
      </c>
      <c r="G393">
        <v>75</v>
      </c>
      <c r="H393" s="1">
        <f>'Geometry Calculator'!H$11/2*SIN(RADIANS('Background calcs'!$G393))+H$81</f>
        <v>357.39255572695527</v>
      </c>
      <c r="I393" s="1"/>
      <c r="J393" s="1">
        <f>'Geometry Calculator'!J$11/2*SIN(RADIANS('Background calcs'!$G393))+J$81</f>
        <v>371.15403651097876</v>
      </c>
      <c r="K393" s="1"/>
      <c r="L393" s="1">
        <f>'Geometry Calculator'!L$11/2*SIN(RADIANS('Background calcs'!$G393))+L$81</f>
        <v>-99635.845963489017</v>
      </c>
      <c r="M393" s="1"/>
      <c r="N393" s="1">
        <f>'Geometry Calculator'!N$11/2*SIN(RADIANS('Background calcs'!$G393))+N$81</f>
        <v>-99635.845963489017</v>
      </c>
      <c r="O393" s="1"/>
      <c r="P393" s="1">
        <f>'Geometry Calculator'!P$11/2*SIN(RADIANS('Background calcs'!$G393))+P$81</f>
        <v>-99649.368925057075</v>
      </c>
      <c r="Q393" s="1"/>
      <c r="R393" s="1">
        <f>'Geometry Calculator'!R$11/2*SIN(RADIANS('Background calcs'!$G393))+R$81</f>
        <v>-99626.760778054741</v>
      </c>
      <c r="S393" s="1"/>
      <c r="T393" s="1">
        <f>'Geometry Calculator'!T$11/2*SIN(RADIANS('Background calcs'!$G393))+T$81</f>
        <v>-99640.675592620464</v>
      </c>
      <c r="U393" s="1"/>
      <c r="V393" s="1">
        <f>'Geometry Calculator'!V$11/2*SIN(RADIANS('Background calcs'!$G393))+V$81</f>
        <v>-99640.675592620464</v>
      </c>
      <c r="W393" s="1"/>
      <c r="X393" s="1">
        <f>'Geometry Calculator'!X$11/2*SIN(RADIANS('Background calcs'!$G393))+X$81</f>
        <v>-99630.533371444428</v>
      </c>
      <c r="Y393" s="1"/>
      <c r="Z393" s="1">
        <f>'Geometry Calculator'!Z$11/2*SIN(RADIANS('Background calcs'!$G393))+Z$81</f>
        <v>-99630.533371444428</v>
      </c>
      <c r="AB393" s="159"/>
      <c r="AC393" s="1"/>
      <c r="AD393" s="1"/>
    </row>
    <row r="394" spans="6:30" x14ac:dyDescent="0.25">
      <c r="F394" t="s">
        <v>254</v>
      </c>
      <c r="G394">
        <v>80</v>
      </c>
      <c r="H394" s="1">
        <f>'Geometry Calculator'!H$11/2*SIN(RADIANS('Background calcs'!$G394))+H$81</f>
        <v>364.37886861451699</v>
      </c>
      <c r="I394" s="1"/>
      <c r="J394" s="1">
        <f>'Geometry Calculator'!J$11/2*SIN(RADIANS('Background calcs'!$G394))+J$81</f>
        <v>378.27252288560243</v>
      </c>
      <c r="K394" s="1"/>
      <c r="L394" s="1">
        <f>'Geometry Calculator'!L$11/2*SIN(RADIANS('Background calcs'!$G394))+L$81</f>
        <v>-99628.7274771144</v>
      </c>
      <c r="M394" s="1"/>
      <c r="N394" s="1">
        <f>'Geometry Calculator'!N$11/2*SIN(RADIANS('Background calcs'!$G394))+N$81</f>
        <v>-99628.7274771144</v>
      </c>
      <c r="O394" s="1"/>
      <c r="P394" s="1">
        <f>'Geometry Calculator'!P$11/2*SIN(RADIANS('Background calcs'!$G394))+P$81</f>
        <v>-99642.514785656575</v>
      </c>
      <c r="Q394" s="1"/>
      <c r="R394" s="1">
        <f>'Geometry Calculator'!R$11/2*SIN(RADIANS('Background calcs'!$G394))+R$81</f>
        <v>-99619.689496496925</v>
      </c>
      <c r="S394" s="1"/>
      <c r="T394" s="1">
        <f>'Geometry Calculator'!T$11/2*SIN(RADIANS('Background calcs'!$G394))+T$81</f>
        <v>-99633.651515879465</v>
      </c>
      <c r="U394" s="1"/>
      <c r="V394" s="1">
        <f>'Geometry Calculator'!V$11/2*SIN(RADIANS('Background calcs'!$G394))+V$81</f>
        <v>-99633.651515879465</v>
      </c>
      <c r="W394" s="1"/>
      <c r="X394" s="1">
        <f>'Geometry Calculator'!X$11/2*SIN(RADIANS('Background calcs'!$G394))+X$81</f>
        <v>-99623.311034472834</v>
      </c>
      <c r="Y394" s="1"/>
      <c r="Z394" s="1">
        <f>'Geometry Calculator'!Z$11/2*SIN(RADIANS('Background calcs'!$G394))+Z$81</f>
        <v>-99623.311034472834</v>
      </c>
      <c r="AB394" s="159"/>
      <c r="AC394" s="1"/>
      <c r="AD394" s="1"/>
    </row>
    <row r="395" spans="6:30" x14ac:dyDescent="0.25">
      <c r="F395" t="s">
        <v>255</v>
      </c>
      <c r="G395">
        <v>85</v>
      </c>
      <c r="H395" s="1">
        <f>'Geometry Calculator'!H$11/2*SIN(RADIANS('Background calcs'!$G395))+H$81</f>
        <v>368.59203829394585</v>
      </c>
      <c r="I395" s="1"/>
      <c r="J395" s="1">
        <f>'Geometry Calculator'!J$11/2*SIN(RADIANS('Background calcs'!$G395))+J$81</f>
        <v>382.56540118058808</v>
      </c>
      <c r="K395" s="1"/>
      <c r="L395" s="1">
        <f>'Geometry Calculator'!L$11/2*SIN(RADIANS('Background calcs'!$G395))+L$81</f>
        <v>-99624.434598819411</v>
      </c>
      <c r="M395" s="1"/>
      <c r="N395" s="1">
        <f>'Geometry Calculator'!N$11/2*SIN(RADIANS('Background calcs'!$G395))+N$81</f>
        <v>-99624.434598819411</v>
      </c>
      <c r="O395" s="1"/>
      <c r="P395" s="1">
        <f>'Geometry Calculator'!P$11/2*SIN(RADIANS('Background calcs'!$G395))+P$81</f>
        <v>-99638.381324592701</v>
      </c>
      <c r="Q395" s="1"/>
      <c r="R395" s="1">
        <f>'Geometry Calculator'!R$11/2*SIN(RADIANS('Background calcs'!$G395))+R$81</f>
        <v>-99615.425085564639</v>
      </c>
      <c r="S395" s="1"/>
      <c r="T395" s="1">
        <f>'Geometry Calculator'!T$11/2*SIN(RADIANS('Background calcs'!$G395))+T$81</f>
        <v>-99629.415572309867</v>
      </c>
      <c r="U395" s="1"/>
      <c r="V395" s="1">
        <f>'Geometry Calculator'!V$11/2*SIN(RADIANS('Background calcs'!$G395))+V$81</f>
        <v>-99629.415572309867</v>
      </c>
      <c r="W395" s="1"/>
      <c r="X395" s="1">
        <f>'Geometry Calculator'!X$11/2*SIN(RADIANS('Background calcs'!$G395))+X$81</f>
        <v>-99618.95552797991</v>
      </c>
      <c r="Y395" s="1"/>
      <c r="Z395" s="1">
        <f>'Geometry Calculator'!Z$11/2*SIN(RADIANS('Background calcs'!$G395))+Z$81</f>
        <v>-99618.95552797991</v>
      </c>
      <c r="AB395" s="159"/>
      <c r="AC395" s="1"/>
      <c r="AD395" s="1"/>
    </row>
    <row r="396" spans="6:30" x14ac:dyDescent="0.25">
      <c r="F396" t="s">
        <v>157</v>
      </c>
      <c r="G396">
        <v>90</v>
      </c>
      <c r="H396" s="1">
        <f>'Geometry Calculator'!H$11/2*SIN(RADIANS('Background calcs'!$G396))+H$81</f>
        <v>370</v>
      </c>
      <c r="I396" s="1"/>
      <c r="J396" s="1">
        <f>'Geometry Calculator'!J$11/2*SIN(RADIANS('Background calcs'!$G396))+J$81</f>
        <v>384</v>
      </c>
      <c r="K396" s="1"/>
      <c r="L396" s="1">
        <f>'Geometry Calculator'!L$11/2*SIN(RADIANS('Background calcs'!$G396))+L$81</f>
        <v>-99623</v>
      </c>
      <c r="M396" s="1"/>
      <c r="N396" s="1">
        <f>'Geometry Calculator'!N$11/2*SIN(RADIANS('Background calcs'!$G396))+N$81</f>
        <v>-99623</v>
      </c>
      <c r="O396" s="1"/>
      <c r="P396" s="1">
        <f>'Geometry Calculator'!P$11/2*SIN(RADIANS('Background calcs'!$G396))+P$81</f>
        <v>-99637</v>
      </c>
      <c r="Q396" s="1"/>
      <c r="R396" s="1">
        <f>'Geometry Calculator'!R$11/2*SIN(RADIANS('Background calcs'!$G396))+R$81</f>
        <v>-99614</v>
      </c>
      <c r="S396" s="1"/>
      <c r="T396" s="1">
        <f>'Geometry Calculator'!T$11/2*SIN(RADIANS('Background calcs'!$G396))+T$81</f>
        <v>-99628</v>
      </c>
      <c r="U396" s="1"/>
      <c r="V396" s="1">
        <f>'Geometry Calculator'!V$11/2*SIN(RADIANS('Background calcs'!$G396))+V$81</f>
        <v>-99628</v>
      </c>
      <c r="W396" s="1"/>
      <c r="X396" s="1">
        <f>'Geometry Calculator'!X$11/2*SIN(RADIANS('Background calcs'!$G396))+X$81</f>
        <v>-99617.5</v>
      </c>
      <c r="Y396" s="1"/>
      <c r="Z396" s="1">
        <f>'Geometry Calculator'!Z$11/2*SIN(RADIANS('Background calcs'!$G396))+Z$81</f>
        <v>-99617.5</v>
      </c>
      <c r="AB396" s="159"/>
      <c r="AC396" s="1"/>
      <c r="AD396" s="1"/>
    </row>
    <row r="397" spans="6:30" x14ac:dyDescent="0.25">
      <c r="F397" t="s">
        <v>256</v>
      </c>
      <c r="G397">
        <v>95</v>
      </c>
      <c r="H397" s="1">
        <f>'Geometry Calculator'!H$11/2*SIN(RADIANS('Background calcs'!$G397))+H$81</f>
        <v>368.59203829394585</v>
      </c>
      <c r="I397" s="1"/>
      <c r="J397" s="1">
        <f>'Geometry Calculator'!J$11/2*SIN(RADIANS('Background calcs'!$G397))+J$81</f>
        <v>382.56540118058808</v>
      </c>
      <c r="K397" s="1"/>
      <c r="L397" s="1">
        <f>'Geometry Calculator'!L$11/2*SIN(RADIANS('Background calcs'!$G397))+L$81</f>
        <v>-99624.434598819411</v>
      </c>
      <c r="M397" s="1"/>
      <c r="N397" s="1">
        <f>'Geometry Calculator'!N$11/2*SIN(RADIANS('Background calcs'!$G397))+N$81</f>
        <v>-99624.434598819411</v>
      </c>
      <c r="O397" s="1"/>
      <c r="P397" s="1">
        <f>'Geometry Calculator'!P$11/2*SIN(RADIANS('Background calcs'!$G397))+P$81</f>
        <v>-99638.381324592701</v>
      </c>
      <c r="Q397" s="1"/>
      <c r="R397" s="1">
        <f>'Geometry Calculator'!R$11/2*SIN(RADIANS('Background calcs'!$G397))+R$81</f>
        <v>-99615.425085564639</v>
      </c>
      <c r="S397" s="1"/>
      <c r="T397" s="1">
        <f>'Geometry Calculator'!T$11/2*SIN(RADIANS('Background calcs'!$G397))+T$81</f>
        <v>-99629.415572309867</v>
      </c>
      <c r="U397" s="1"/>
      <c r="V397" s="1">
        <f>'Geometry Calculator'!V$11/2*SIN(RADIANS('Background calcs'!$G397))+V$81</f>
        <v>-99629.415572309867</v>
      </c>
      <c r="W397" s="1"/>
      <c r="X397" s="1">
        <f>'Geometry Calculator'!X$11/2*SIN(RADIANS('Background calcs'!$G397))+X$81</f>
        <v>-99618.95552797991</v>
      </c>
      <c r="Y397" s="1"/>
      <c r="Z397" s="1">
        <f>'Geometry Calculator'!Z$11/2*SIN(RADIANS('Background calcs'!$G397))+Z$81</f>
        <v>-99618.95552797991</v>
      </c>
      <c r="AB397" s="159"/>
      <c r="AC397" s="1"/>
      <c r="AD397" s="1"/>
    </row>
    <row r="398" spans="6:30" x14ac:dyDescent="0.25">
      <c r="F398" t="s">
        <v>257</v>
      </c>
      <c r="G398">
        <v>100</v>
      </c>
      <c r="H398" s="1">
        <f>'Geometry Calculator'!H$11/2*SIN(RADIANS('Background calcs'!$G398))+H$81</f>
        <v>364.37886861451699</v>
      </c>
      <c r="I398" s="1"/>
      <c r="J398" s="1">
        <f>'Geometry Calculator'!J$11/2*SIN(RADIANS('Background calcs'!$G398))+J$81</f>
        <v>378.27252288560243</v>
      </c>
      <c r="K398" s="1"/>
      <c r="L398" s="1">
        <f>'Geometry Calculator'!L$11/2*SIN(RADIANS('Background calcs'!$G398))+L$81</f>
        <v>-99628.7274771144</v>
      </c>
      <c r="M398" s="1"/>
      <c r="N398" s="1">
        <f>'Geometry Calculator'!N$11/2*SIN(RADIANS('Background calcs'!$G398))+N$81</f>
        <v>-99628.7274771144</v>
      </c>
      <c r="O398" s="1"/>
      <c r="P398" s="1">
        <f>'Geometry Calculator'!P$11/2*SIN(RADIANS('Background calcs'!$G398))+P$81</f>
        <v>-99642.514785656575</v>
      </c>
      <c r="Q398" s="1"/>
      <c r="R398" s="1">
        <f>'Geometry Calculator'!R$11/2*SIN(RADIANS('Background calcs'!$G398))+R$81</f>
        <v>-99619.689496496925</v>
      </c>
      <c r="S398" s="1"/>
      <c r="T398" s="1">
        <f>'Geometry Calculator'!T$11/2*SIN(RADIANS('Background calcs'!$G398))+T$81</f>
        <v>-99633.651515879465</v>
      </c>
      <c r="U398" s="1"/>
      <c r="V398" s="1">
        <f>'Geometry Calculator'!V$11/2*SIN(RADIANS('Background calcs'!$G398))+V$81</f>
        <v>-99633.651515879465</v>
      </c>
      <c r="W398" s="1"/>
      <c r="X398" s="1">
        <f>'Geometry Calculator'!X$11/2*SIN(RADIANS('Background calcs'!$G398))+X$81</f>
        <v>-99623.311034472834</v>
      </c>
      <c r="Y398" s="1"/>
      <c r="Z398" s="1">
        <f>'Geometry Calculator'!Z$11/2*SIN(RADIANS('Background calcs'!$G398))+Z$81</f>
        <v>-99623.311034472834</v>
      </c>
      <c r="AB398" s="159"/>
      <c r="AC398" s="1"/>
      <c r="AD398" s="1"/>
    </row>
    <row r="399" spans="6:30" x14ac:dyDescent="0.25">
      <c r="F399" t="s">
        <v>158</v>
      </c>
      <c r="G399">
        <v>105</v>
      </c>
      <c r="H399" s="1">
        <f>'Geometry Calculator'!H$11/2*SIN(RADIANS('Background calcs'!$G399))+H$81</f>
        <v>357.39255572695527</v>
      </c>
      <c r="I399" s="1"/>
      <c r="J399" s="1">
        <f>'Geometry Calculator'!J$11/2*SIN(RADIANS('Background calcs'!$G399))+J$81</f>
        <v>371.15403651097876</v>
      </c>
      <c r="K399" s="1"/>
      <c r="L399" s="1">
        <f>'Geometry Calculator'!L$11/2*SIN(RADIANS('Background calcs'!$G399))+L$81</f>
        <v>-99635.845963489017</v>
      </c>
      <c r="M399" s="1"/>
      <c r="N399" s="1">
        <f>'Geometry Calculator'!N$11/2*SIN(RADIANS('Background calcs'!$G399))+N$81</f>
        <v>-99635.845963489017</v>
      </c>
      <c r="O399" s="1"/>
      <c r="P399" s="1">
        <f>'Geometry Calculator'!P$11/2*SIN(RADIANS('Background calcs'!$G399))+P$81</f>
        <v>-99649.368925057075</v>
      </c>
      <c r="Q399" s="1"/>
      <c r="R399" s="1">
        <f>'Geometry Calculator'!R$11/2*SIN(RADIANS('Background calcs'!$G399))+R$81</f>
        <v>-99626.760778054741</v>
      </c>
      <c r="S399" s="1"/>
      <c r="T399" s="1">
        <f>'Geometry Calculator'!T$11/2*SIN(RADIANS('Background calcs'!$G399))+T$81</f>
        <v>-99640.675592620464</v>
      </c>
      <c r="U399" s="1"/>
      <c r="V399" s="1">
        <f>'Geometry Calculator'!V$11/2*SIN(RADIANS('Background calcs'!$G399))+V$81</f>
        <v>-99640.675592620464</v>
      </c>
      <c r="W399" s="1"/>
      <c r="X399" s="1">
        <f>'Geometry Calculator'!X$11/2*SIN(RADIANS('Background calcs'!$G399))+X$81</f>
        <v>-99630.533371444428</v>
      </c>
      <c r="Y399" s="1"/>
      <c r="Z399" s="1">
        <f>'Geometry Calculator'!Z$11/2*SIN(RADIANS('Background calcs'!$G399))+Z$81</f>
        <v>-99630.533371444428</v>
      </c>
      <c r="AB399" s="159"/>
      <c r="AC399" s="1"/>
      <c r="AD399" s="1"/>
    </row>
    <row r="400" spans="6:30" x14ac:dyDescent="0.25">
      <c r="F400" t="s">
        <v>258</v>
      </c>
      <c r="G400">
        <v>110</v>
      </c>
      <c r="H400" s="1">
        <f>'Geometry Calculator'!H$11/2*SIN(RADIANS('Background calcs'!$G400))+H$81</f>
        <v>347.68626969078611</v>
      </c>
      <c r="I400" s="1"/>
      <c r="J400" s="1">
        <f>'Geometry Calculator'!J$11/2*SIN(RADIANS('Background calcs'!$G400))+J$81</f>
        <v>361.26411803628747</v>
      </c>
      <c r="K400" s="1"/>
      <c r="L400" s="1">
        <f>'Geometry Calculator'!L$11/2*SIN(RADIANS('Background calcs'!$G400))+L$81</f>
        <v>-99645.735881963716</v>
      </c>
      <c r="M400" s="1"/>
      <c r="N400" s="1">
        <f>'Geometry Calculator'!N$11/2*SIN(RADIANS('Background calcs'!$G400))+N$81</f>
        <v>-99645.735881963716</v>
      </c>
      <c r="O400" s="1"/>
      <c r="P400" s="1">
        <f>'Geometry Calculator'!P$11/2*SIN(RADIANS('Background calcs'!$G400))+P$81</f>
        <v>-99658.891578654715</v>
      </c>
      <c r="Q400" s="1"/>
      <c r="R400" s="1">
        <f>'Geometry Calculator'!R$11/2*SIN(RADIANS('Background calcs'!$G400))+R$81</f>
        <v>-99636.585113515684</v>
      </c>
      <c r="S400" s="1"/>
      <c r="T400" s="1">
        <f>'Geometry Calculator'!T$11/2*SIN(RADIANS('Background calcs'!$G400))+T$81</f>
        <v>-99650.434345067639</v>
      </c>
      <c r="U400" s="1"/>
      <c r="V400" s="1">
        <f>'Geometry Calculator'!V$11/2*SIN(RADIANS('Background calcs'!$G400))+V$81</f>
        <v>-99650.434345067639</v>
      </c>
      <c r="W400" s="1"/>
      <c r="X400" s="1">
        <f>'Geometry Calculator'!X$11/2*SIN(RADIANS('Background calcs'!$G400))+X$81</f>
        <v>-99640.567572549393</v>
      </c>
      <c r="Y400" s="1"/>
      <c r="Z400" s="1">
        <f>'Geometry Calculator'!Z$11/2*SIN(RADIANS('Background calcs'!$G400))+Z$81</f>
        <v>-99640.567572549393</v>
      </c>
      <c r="AB400" s="159"/>
      <c r="AC400" s="1"/>
      <c r="AD400" s="1"/>
    </row>
    <row r="401" spans="6:30" x14ac:dyDescent="0.25">
      <c r="F401" t="s">
        <v>259</v>
      </c>
      <c r="G401">
        <v>115</v>
      </c>
      <c r="H401" s="1">
        <f>'Geometry Calculator'!H$11/2*SIN(RADIANS('Background calcs'!$G401))+H$81</f>
        <v>335.33388120356051</v>
      </c>
      <c r="I401" s="1"/>
      <c r="J401" s="1">
        <f>'Geometry Calculator'!J$11/2*SIN(RADIANS('Background calcs'!$G401))+J$81</f>
        <v>348.67803571281706</v>
      </c>
      <c r="K401" s="1"/>
      <c r="L401" s="1">
        <f>'Geometry Calculator'!L$11/2*SIN(RADIANS('Background calcs'!$G401))+L$81</f>
        <v>-99658.321964287185</v>
      </c>
      <c r="M401" s="1"/>
      <c r="N401" s="1">
        <f>'Geometry Calculator'!N$11/2*SIN(RADIANS('Background calcs'!$G401))+N$81</f>
        <v>-99658.321964287185</v>
      </c>
      <c r="O401" s="1"/>
      <c r="P401" s="1">
        <f>'Geometry Calculator'!P$11/2*SIN(RADIANS('Background calcs'!$G401))+P$81</f>
        <v>-99671.010273305699</v>
      </c>
      <c r="Q401" s="1"/>
      <c r="R401" s="1">
        <f>'Geometry Calculator'!R$11/2*SIN(RADIANS('Background calcs'!$G401))+R$81</f>
        <v>-99649.087733754772</v>
      </c>
      <c r="S401" s="1"/>
      <c r="T401" s="1">
        <f>'Geometry Calculator'!T$11/2*SIN(RADIANS('Background calcs'!$G401))+T$81</f>
        <v>-99662.853503222359</v>
      </c>
      <c r="U401" s="1"/>
      <c r="V401" s="1">
        <f>'Geometry Calculator'!V$11/2*SIN(RADIANS('Background calcs'!$G401))+V$81</f>
        <v>-99662.853503222359</v>
      </c>
      <c r="W401" s="1"/>
      <c r="X401" s="1">
        <f>'Geometry Calculator'!X$11/2*SIN(RADIANS('Background calcs'!$G401))+X$81</f>
        <v>-99653.337271458484</v>
      </c>
      <c r="Y401" s="1"/>
      <c r="Z401" s="1">
        <f>'Geometry Calculator'!Z$11/2*SIN(RADIANS('Background calcs'!$G401))+Z$81</f>
        <v>-99653.337271458484</v>
      </c>
      <c r="AB401" s="159"/>
      <c r="AC401" s="1"/>
      <c r="AD401" s="1"/>
    </row>
    <row r="402" spans="6:30" x14ac:dyDescent="0.25">
      <c r="F402" t="s">
        <v>159</v>
      </c>
      <c r="G402">
        <v>120</v>
      </c>
      <c r="H402" s="1">
        <f>'Geometry Calculator'!H$11/2*SIN(RADIANS('Background calcs'!$G402))+H$81</f>
        <v>320.42939940024235</v>
      </c>
      <c r="I402" s="1"/>
      <c r="J402" s="1">
        <f>'Geometry Calculator'!J$11/2*SIN(RADIANS('Background calcs'!$G402))+J$81</f>
        <v>333.4915772267334</v>
      </c>
      <c r="K402" s="1"/>
      <c r="L402" s="1">
        <f>'Geometry Calculator'!L$11/2*SIN(RADIANS('Background calcs'!$G402))+L$81</f>
        <v>-99673.508422773273</v>
      </c>
      <c r="M402" s="1"/>
      <c r="N402" s="1">
        <f>'Geometry Calculator'!N$11/2*SIN(RADIANS('Background calcs'!$G402))+N$81</f>
        <v>-99673.508422773273</v>
      </c>
      <c r="O402" s="1"/>
      <c r="P402" s="1">
        <f>'Geometry Calculator'!P$11/2*SIN(RADIANS('Background calcs'!$G402))+P$81</f>
        <v>-99685.632778426254</v>
      </c>
      <c r="Q402" s="1"/>
      <c r="R402" s="1">
        <f>'Geometry Calculator'!R$11/2*SIN(RADIANS('Background calcs'!$G402))+R$81</f>
        <v>-99664.173486282729</v>
      </c>
      <c r="S402" s="1"/>
      <c r="T402" s="1">
        <f>'Geometry Calculator'!T$11/2*SIN(RADIANS('Background calcs'!$G402))+T$81</f>
        <v>-99677.838549792184</v>
      </c>
      <c r="U402" s="1"/>
      <c r="V402" s="1">
        <f>'Geometry Calculator'!V$11/2*SIN(RADIANS('Background calcs'!$G402))+V$81</f>
        <v>-99677.838549792184</v>
      </c>
      <c r="W402" s="1"/>
      <c r="X402" s="1">
        <f>'Geometry Calculator'!X$11/2*SIN(RADIANS('Background calcs'!$G402))+X$81</f>
        <v>-99668.745283052456</v>
      </c>
      <c r="Y402" s="1"/>
      <c r="Z402" s="1">
        <f>'Geometry Calculator'!Z$11/2*SIN(RADIANS('Background calcs'!$G402))+Z$81</f>
        <v>-99668.745283052456</v>
      </c>
      <c r="AB402" s="159"/>
      <c r="AC402" s="1"/>
      <c r="AD402" s="1"/>
    </row>
    <row r="403" spans="6:30" x14ac:dyDescent="0.25">
      <c r="F403" t="s">
        <v>260</v>
      </c>
      <c r="G403">
        <v>125</v>
      </c>
      <c r="H403" s="1">
        <f>'Geometry Calculator'!H$11/2*SIN(RADIANS('Background calcs'!$G403))+H$81</f>
        <v>303.08625638692695</v>
      </c>
      <c r="I403" s="1"/>
      <c r="J403" s="1">
        <f>'Geometry Calculator'!J$11/2*SIN(RADIANS('Background calcs'!$G403))+J$81</f>
        <v>315.82032069694986</v>
      </c>
      <c r="K403" s="1"/>
      <c r="L403" s="1">
        <f>'Geometry Calculator'!L$11/2*SIN(RADIANS('Background calcs'!$G403))+L$81</f>
        <v>-99691.179679303052</v>
      </c>
      <c r="M403" s="1"/>
      <c r="N403" s="1">
        <f>'Geometry Calculator'!N$11/2*SIN(RADIANS('Background calcs'!$G403))+N$81</f>
        <v>-99691.179679303052</v>
      </c>
      <c r="O403" s="1"/>
      <c r="P403" s="1">
        <f>'Geometry Calculator'!P$11/2*SIN(RADIANS('Background calcs'!$G403))+P$81</f>
        <v>-99702.647807923102</v>
      </c>
      <c r="Q403" s="1"/>
      <c r="R403" s="1">
        <f>'Geometry Calculator'!R$11/2*SIN(RADIANS('Background calcs'!$G403))+R$81</f>
        <v>-99681.727559413775</v>
      </c>
      <c r="S403" s="1"/>
      <c r="T403" s="1">
        <f>'Geometry Calculator'!T$11/2*SIN(RADIANS('Background calcs'!$G403))+T$81</f>
        <v>-99695.275439524499</v>
      </c>
      <c r="U403" s="1"/>
      <c r="V403" s="1">
        <f>'Geometry Calculator'!V$11/2*SIN(RADIANS('Background calcs'!$G403))+V$81</f>
        <v>-99695.275439524499</v>
      </c>
      <c r="W403" s="1"/>
      <c r="X403" s="1">
        <f>'Geometry Calculator'!X$11/2*SIN(RADIANS('Background calcs'!$G403))+X$81</f>
        <v>-99686.674343059465</v>
      </c>
      <c r="Y403" s="1"/>
      <c r="Z403" s="1">
        <f>'Geometry Calculator'!Z$11/2*SIN(RADIANS('Background calcs'!$G403))+Z$81</f>
        <v>-99686.674343059465</v>
      </c>
      <c r="AB403" s="159"/>
      <c r="AC403" s="1"/>
      <c r="AD403" s="1"/>
    </row>
    <row r="404" spans="6:30" x14ac:dyDescent="0.25">
      <c r="F404" t="s">
        <v>261</v>
      </c>
      <c r="G404">
        <v>130</v>
      </c>
      <c r="H404" s="1">
        <f>'Geometry Calculator'!H$11/2*SIN(RADIANS('Background calcs'!$G404))+H$81</f>
        <v>283.43644395402185</v>
      </c>
      <c r="I404" s="1"/>
      <c r="J404" s="1">
        <f>'Geometry Calculator'!J$11/2*SIN(RADIANS('Background calcs'!$G404))+J$81</f>
        <v>295.79875505585471</v>
      </c>
      <c r="K404" s="1"/>
      <c r="L404" s="1">
        <f>'Geometry Calculator'!L$11/2*SIN(RADIANS('Background calcs'!$G404))+L$81</f>
        <v>-99711.201244944139</v>
      </c>
      <c r="M404" s="1"/>
      <c r="N404" s="1">
        <f>'Geometry Calculator'!N$11/2*SIN(RADIANS('Background calcs'!$G404))+N$81</f>
        <v>-99711.201244944139</v>
      </c>
      <c r="O404" s="1"/>
      <c r="P404" s="1">
        <f>'Geometry Calculator'!P$11/2*SIN(RADIANS('Background calcs'!$G404))+P$81</f>
        <v>-99721.925867147816</v>
      </c>
      <c r="Q404" s="1"/>
      <c r="R404" s="1">
        <f>'Geometry Calculator'!R$11/2*SIN(RADIANS('Background calcs'!$G404))+R$81</f>
        <v>-99701.616356051949</v>
      </c>
      <c r="S404" s="1"/>
      <c r="T404" s="1">
        <f>'Geometry Calculator'!T$11/2*SIN(RADIANS('Background calcs'!$G404))+T$81</f>
        <v>-99715.031467159744</v>
      </c>
      <c r="U404" s="1"/>
      <c r="V404" s="1">
        <f>'Geometry Calculator'!V$11/2*SIN(RADIANS('Background calcs'!$G404))+V$81</f>
        <v>-99715.031467159744</v>
      </c>
      <c r="W404" s="1"/>
      <c r="X404" s="1">
        <f>'Geometry Calculator'!X$11/2*SIN(RADIANS('Background calcs'!$G404))+X$81</f>
        <v>-99706.988000506986</v>
      </c>
      <c r="Y404" s="1"/>
      <c r="Z404" s="1">
        <f>'Geometry Calculator'!Z$11/2*SIN(RADIANS('Background calcs'!$G404))+Z$81</f>
        <v>-99706.988000506986</v>
      </c>
      <c r="AB404" s="159"/>
      <c r="AC404" s="1"/>
      <c r="AD404" s="1"/>
    </row>
    <row r="405" spans="6:30" x14ac:dyDescent="0.25">
      <c r="F405" t="s">
        <v>160</v>
      </c>
      <c r="G405">
        <v>135</v>
      </c>
      <c r="H405" s="1">
        <f>'Geometry Calculator'!H$11/2*SIN(RADIANS('Background calcs'!$G405))+H$81</f>
        <v>261.62950903902259</v>
      </c>
      <c r="I405" s="1"/>
      <c r="J405" s="1">
        <f>'Geometry Calculator'!J$11/2*SIN(RADIANS('Background calcs'!$G405))+J$81</f>
        <v>273.57925650732841</v>
      </c>
      <c r="K405" s="1"/>
      <c r="L405" s="1">
        <f>'Geometry Calculator'!L$11/2*SIN(RADIANS('Background calcs'!$G405))+L$81</f>
        <v>-99733.420743492665</v>
      </c>
      <c r="M405" s="1"/>
      <c r="N405" s="1">
        <f>'Geometry Calculator'!N$11/2*SIN(RADIANS('Background calcs'!$G405))+N$81</f>
        <v>-99733.420743492665</v>
      </c>
      <c r="O405" s="1"/>
      <c r="P405" s="1">
        <f>'Geometry Calculator'!P$11/2*SIN(RADIANS('Background calcs'!$G405))+P$81</f>
        <v>-99743.320238429282</v>
      </c>
      <c r="Q405" s="1"/>
      <c r="R405" s="1">
        <f>'Geometry Calculator'!R$11/2*SIN(RADIANS('Background calcs'!$G405))+R$81</f>
        <v>-99723.688510445645</v>
      </c>
      <c r="S405" s="1"/>
      <c r="T405" s="1">
        <f>'Geometry Calculator'!T$11/2*SIN(RADIANS('Background calcs'!$G405))+T$81</f>
        <v>-99736.956277398611</v>
      </c>
      <c r="U405" s="1"/>
      <c r="V405" s="1">
        <f>'Geometry Calculator'!V$11/2*SIN(RADIANS('Background calcs'!$G405))+V$81</f>
        <v>-99736.956277398611</v>
      </c>
      <c r="W405" s="1"/>
      <c r="X405" s="1">
        <f>'Geometry Calculator'!X$11/2*SIN(RADIANS('Background calcs'!$G405))+X$81</f>
        <v>-99729.531656196152</v>
      </c>
      <c r="Y405" s="1"/>
      <c r="Z405" s="1">
        <f>'Geometry Calculator'!Z$11/2*SIN(RADIANS('Background calcs'!$G405))+Z$81</f>
        <v>-99729.531656196152</v>
      </c>
      <c r="AB405" s="159"/>
      <c r="AC405" s="1"/>
      <c r="AD405" s="1"/>
    </row>
    <row r="406" spans="6:30" x14ac:dyDescent="0.25">
      <c r="F406" t="s">
        <v>262</v>
      </c>
      <c r="G406">
        <v>140</v>
      </c>
      <c r="H406" s="1">
        <f>'Geometry Calculator'!H$11/2*SIN(RADIANS('Background calcs'!$G406))+H$81</f>
        <v>237.8314155840196</v>
      </c>
      <c r="I406" s="1"/>
      <c r="J406" s="1">
        <f>'Geometry Calculator'!J$11/2*SIN(RADIANS('Background calcs'!$G406))+J$81</f>
        <v>249.33092885182538</v>
      </c>
      <c r="K406" s="1"/>
      <c r="L406" s="1">
        <f>'Geometry Calculator'!L$11/2*SIN(RADIANS('Background calcs'!$G406))+L$81</f>
        <v>-99757.669071148179</v>
      </c>
      <c r="M406" s="1"/>
      <c r="N406" s="1">
        <f>'Geometry Calculator'!N$11/2*SIN(RADIANS('Background calcs'!$G406))+N$81</f>
        <v>-99757.669071148179</v>
      </c>
      <c r="O406" s="1"/>
      <c r="P406" s="1">
        <f>'Geometry Calculator'!P$11/2*SIN(RADIANS('Background calcs'!$G406))+P$81</f>
        <v>-99766.668097683782</v>
      </c>
      <c r="Q406" s="1"/>
      <c r="R406" s="1">
        <f>'Geometry Calculator'!R$11/2*SIN(RADIANS('Background calcs'!$G406))+R$81</f>
        <v>-99747.776040172394</v>
      </c>
      <c r="S406" s="1"/>
      <c r="T406" s="1">
        <f>'Geometry Calculator'!T$11/2*SIN(RADIANS('Background calcs'!$G406))+T$81</f>
        <v>-99760.883009196608</v>
      </c>
      <c r="U406" s="1"/>
      <c r="V406" s="1">
        <f>'Geometry Calculator'!V$11/2*SIN(RADIANS('Background calcs'!$G406))+V$81</f>
        <v>-99760.883009196608</v>
      </c>
      <c r="W406" s="1"/>
      <c r="X406" s="1">
        <f>'Geometry Calculator'!X$11/2*SIN(RADIANS('Background calcs'!$G406))+X$81</f>
        <v>-99754.133739294892</v>
      </c>
      <c r="Y406" s="1"/>
      <c r="Z406" s="1">
        <f>'Geometry Calculator'!Z$11/2*SIN(RADIANS('Background calcs'!$G406))+Z$81</f>
        <v>-99754.133739294892</v>
      </c>
      <c r="AB406" s="159"/>
      <c r="AC406" s="1"/>
      <c r="AD406" s="1"/>
    </row>
    <row r="407" spans="6:30" x14ac:dyDescent="0.25">
      <c r="F407" t="s">
        <v>263</v>
      </c>
      <c r="G407">
        <v>145</v>
      </c>
      <c r="H407" s="1">
        <f>'Geometry Calculator'!H$11/2*SIN(RADIANS('Background calcs'!$G407))+H$81</f>
        <v>212.223281449887</v>
      </c>
      <c r="I407" s="1"/>
      <c r="J407" s="1">
        <f>'Geometry Calculator'!J$11/2*SIN(RADIANS('Background calcs'!$G407))+J$81</f>
        <v>223.23831650434431</v>
      </c>
      <c r="K407" s="1"/>
      <c r="L407" s="1">
        <f>'Geometry Calculator'!L$11/2*SIN(RADIANS('Background calcs'!$G407))+L$81</f>
        <v>-99783.761683495657</v>
      </c>
      <c r="M407" s="1"/>
      <c r="N407" s="1">
        <f>'Geometry Calculator'!N$11/2*SIN(RADIANS('Background calcs'!$G407))+N$81</f>
        <v>-99783.761683495657</v>
      </c>
      <c r="O407" s="1"/>
      <c r="P407" s="1">
        <f>'Geometry Calculator'!P$11/2*SIN(RADIANS('Background calcs'!$G407))+P$81</f>
        <v>-99791.791753604572</v>
      </c>
      <c r="Q407" s="1"/>
      <c r="R407" s="1">
        <f>'Geometry Calculator'!R$11/2*SIN(RADIANS('Background calcs'!$G407))+R$81</f>
        <v>-99773.695624586529</v>
      </c>
      <c r="S407" s="1"/>
      <c r="T407" s="1">
        <f>'Geometry Calculator'!T$11/2*SIN(RADIANS('Background calcs'!$G407))+T$81</f>
        <v>-99786.629565677416</v>
      </c>
      <c r="U407" s="1"/>
      <c r="V407" s="1">
        <f>'Geometry Calculator'!V$11/2*SIN(RADIANS('Background calcs'!$G407))+V$81</f>
        <v>-99786.629565677416</v>
      </c>
      <c r="W407" s="1"/>
      <c r="X407" s="1">
        <f>'Geometry Calculator'!X$11/2*SIN(RADIANS('Background calcs'!$G407))+X$81</f>
        <v>-99780.607013095723</v>
      </c>
      <c r="Y407" s="1"/>
      <c r="Z407" s="1">
        <f>'Geometry Calculator'!Z$11/2*SIN(RADIANS('Background calcs'!$G407))+Z$81</f>
        <v>-99780.607013095723</v>
      </c>
      <c r="AB407" s="159"/>
      <c r="AC407" s="1"/>
      <c r="AD407" s="1"/>
    </row>
    <row r="408" spans="6:30" x14ac:dyDescent="0.25">
      <c r="F408" t="s">
        <v>161</v>
      </c>
      <c r="G408">
        <v>150</v>
      </c>
      <c r="H408" s="1">
        <f>'Geometry Calculator'!H$11/2*SIN(RADIANS('Background calcs'!$G408))+H$81</f>
        <v>184.99999999999997</v>
      </c>
      <c r="I408" s="1"/>
      <c r="J408" s="1">
        <f>'Geometry Calculator'!J$11/2*SIN(RADIANS('Background calcs'!$G408))+J$81</f>
        <v>195.49999999999997</v>
      </c>
      <c r="K408" s="1"/>
      <c r="L408" s="1">
        <f>'Geometry Calculator'!L$11/2*SIN(RADIANS('Background calcs'!$G408))+L$81</f>
        <v>-99811.5</v>
      </c>
      <c r="M408" s="1"/>
      <c r="N408" s="1">
        <f>'Geometry Calculator'!N$11/2*SIN(RADIANS('Background calcs'!$G408))+N$81</f>
        <v>-99811.5</v>
      </c>
      <c r="O408" s="1"/>
      <c r="P408" s="1">
        <f>'Geometry Calculator'!P$11/2*SIN(RADIANS('Background calcs'!$G408))+P$81</f>
        <v>-99818.5</v>
      </c>
      <c r="Q408" s="1"/>
      <c r="R408" s="1">
        <f>'Geometry Calculator'!R$11/2*SIN(RADIANS('Background calcs'!$G408))+R$81</f>
        <v>-99801.25</v>
      </c>
      <c r="S408" s="1"/>
      <c r="T408" s="1">
        <f>'Geometry Calculator'!T$11/2*SIN(RADIANS('Background calcs'!$G408))+T$81</f>
        <v>-99814</v>
      </c>
      <c r="U408" s="1"/>
      <c r="V408" s="1">
        <f>'Geometry Calculator'!V$11/2*SIN(RADIANS('Background calcs'!$G408))+V$81</f>
        <v>-99814</v>
      </c>
      <c r="W408" s="1"/>
      <c r="X408" s="1">
        <f>'Geometry Calculator'!X$11/2*SIN(RADIANS('Background calcs'!$G408))+X$81</f>
        <v>-99808.75</v>
      </c>
      <c r="Y408" s="1"/>
      <c r="Z408" s="1">
        <f>'Geometry Calculator'!Z$11/2*SIN(RADIANS('Background calcs'!$G408))+Z$81</f>
        <v>-99808.75</v>
      </c>
      <c r="AB408" s="159"/>
      <c r="AC408" s="1"/>
      <c r="AD408" s="1"/>
    </row>
    <row r="409" spans="6:30" x14ac:dyDescent="0.25">
      <c r="F409" t="s">
        <v>264</v>
      </c>
      <c r="G409">
        <v>155</v>
      </c>
      <c r="H409" s="1">
        <f>'Geometry Calculator'!H$11/2*SIN(RADIANS('Background calcs'!$G409))+H$81</f>
        <v>156.36875684405882</v>
      </c>
      <c r="I409" s="1"/>
      <c r="J409" s="1">
        <f>'Geometry Calculator'!J$11/2*SIN(RADIANS('Background calcs'!$G409))+J$81</f>
        <v>166.32708467624371</v>
      </c>
      <c r="K409" s="1"/>
      <c r="L409" s="1">
        <f>'Geometry Calculator'!L$11/2*SIN(RADIANS('Background calcs'!$G409))+L$81</f>
        <v>-99840.672915323754</v>
      </c>
      <c r="M409" s="1"/>
      <c r="N409" s="1">
        <f>'Geometry Calculator'!N$11/2*SIN(RADIANS('Background calcs'!$G409))+N$81</f>
        <v>-99840.672915323754</v>
      </c>
      <c r="O409" s="1"/>
      <c r="P409" s="1">
        <f>'Geometry Calculator'!P$11/2*SIN(RADIANS('Background calcs'!$G409))+P$81</f>
        <v>-99846.58957098813</v>
      </c>
      <c r="Q409" s="1"/>
      <c r="R409" s="1">
        <f>'Geometry Calculator'!R$11/2*SIN(RADIANS('Background calcs'!$G409))+R$81</f>
        <v>-99830.229460978109</v>
      </c>
      <c r="S409" s="1"/>
      <c r="T409" s="1">
        <f>'Geometry Calculator'!T$11/2*SIN(RADIANS('Background calcs'!$G409))+T$81</f>
        <v>-99842.786006632465</v>
      </c>
      <c r="U409" s="1"/>
      <c r="V409" s="1">
        <f>'Geometry Calculator'!V$11/2*SIN(RADIANS('Background calcs'!$G409))+V$81</f>
        <v>-99842.786006632465</v>
      </c>
      <c r="W409" s="1"/>
      <c r="X409" s="1">
        <f>'Geometry Calculator'!X$11/2*SIN(RADIANS('Background calcs'!$G409))+X$81</f>
        <v>-99838.348514884186</v>
      </c>
      <c r="Y409" s="1"/>
      <c r="Z409" s="1">
        <f>'Geometry Calculator'!Z$11/2*SIN(RADIANS('Background calcs'!$G409))+Z$81</f>
        <v>-99838.348514884186</v>
      </c>
      <c r="AB409" s="159"/>
      <c r="AC409" s="1"/>
      <c r="AD409" s="1"/>
    </row>
    <row r="410" spans="6:30" x14ac:dyDescent="0.25">
      <c r="F410" t="s">
        <v>265</v>
      </c>
      <c r="G410">
        <v>160</v>
      </c>
      <c r="H410" s="1">
        <f>'Geometry Calculator'!H$11/2*SIN(RADIANS('Background calcs'!$G410))+H$81</f>
        <v>126.54745303049748</v>
      </c>
      <c r="I410" s="1"/>
      <c r="J410" s="1">
        <f>'Geometry Calculator'!J$11/2*SIN(RADIANS('Background calcs'!$G410))+J$81</f>
        <v>135.94159403377716</v>
      </c>
      <c r="K410" s="1"/>
      <c r="L410" s="1">
        <f>'Geometry Calculator'!L$11/2*SIN(RADIANS('Background calcs'!$G410))+L$81</f>
        <v>-99871.058405966221</v>
      </c>
      <c r="M410" s="1"/>
      <c r="N410" s="1">
        <f>'Geometry Calculator'!N$11/2*SIN(RADIANS('Background calcs'!$G410))+N$81</f>
        <v>-99871.058405966221</v>
      </c>
      <c r="O410" s="1"/>
      <c r="P410" s="1">
        <f>'Geometry Calculator'!P$11/2*SIN(RADIANS('Background calcs'!$G410))+P$81</f>
        <v>-99875.846687972778</v>
      </c>
      <c r="Q410" s="1"/>
      <c r="R410" s="1">
        <f>'Geometry Calculator'!R$11/2*SIN(RADIANS('Background calcs'!$G410))+R$81</f>
        <v>-99860.413456324532</v>
      </c>
      <c r="S410" s="1"/>
      <c r="T410" s="1">
        <f>'Geometry Calculator'!T$11/2*SIN(RADIANS('Background calcs'!$G410))+T$81</f>
        <v>-99872.768506682856</v>
      </c>
      <c r="U410" s="1"/>
      <c r="V410" s="1">
        <f>'Geometry Calculator'!V$11/2*SIN(RADIANS('Background calcs'!$G410))+V$81</f>
        <v>-99872.768506682856</v>
      </c>
      <c r="W410" s="1"/>
      <c r="X410" s="1">
        <f>'Geometry Calculator'!X$11/2*SIN(RADIANS('Background calcs'!$G410))+X$81</f>
        <v>-99869.177295177928</v>
      </c>
      <c r="Y410" s="1"/>
      <c r="Z410" s="1">
        <f>'Geometry Calculator'!Z$11/2*SIN(RADIANS('Background calcs'!$G410))+Z$81</f>
        <v>-99869.177295177928</v>
      </c>
      <c r="AB410" s="159"/>
      <c r="AC410" s="1"/>
      <c r="AD410" s="1"/>
    </row>
    <row r="411" spans="6:30" x14ac:dyDescent="0.25">
      <c r="F411" t="s">
        <v>162</v>
      </c>
      <c r="G411">
        <v>165</v>
      </c>
      <c r="H411" s="1">
        <f>'Geometry Calculator'!H$11/2*SIN(RADIANS('Background calcs'!$G411))+H$81</f>
        <v>95.763046687932771</v>
      </c>
      <c r="I411" s="1"/>
      <c r="J411" s="1">
        <f>'Geometry Calculator'!J$11/2*SIN(RADIANS('Background calcs'!$G411))+J$81</f>
        <v>104.57478000365042</v>
      </c>
      <c r="K411" s="1"/>
      <c r="L411" s="1">
        <f>'Geometry Calculator'!L$11/2*SIN(RADIANS('Background calcs'!$G411))+L$81</f>
        <v>-99902.425219996352</v>
      </c>
      <c r="M411" s="1"/>
      <c r="N411" s="1">
        <f>'Geometry Calculator'!N$11/2*SIN(RADIANS('Background calcs'!$G411))+N$81</f>
        <v>-99902.425219996352</v>
      </c>
      <c r="O411" s="1"/>
      <c r="P411" s="1">
        <f>'Geometry Calculator'!P$11/2*SIN(RADIANS('Background calcs'!$G411))+P$81</f>
        <v>-99906.048686627779</v>
      </c>
      <c r="Q411" s="1"/>
      <c r="R411" s="1">
        <f>'Geometry Calculator'!R$11/2*SIN(RADIANS('Background calcs'!$G411))+R$81</f>
        <v>-99891.57226760911</v>
      </c>
      <c r="S411" s="1"/>
      <c r="T411" s="1">
        <f>'Geometry Calculator'!T$11/2*SIN(RADIANS('Background calcs'!$G411))+T$81</f>
        <v>-99903.719315221868</v>
      </c>
      <c r="U411" s="1"/>
      <c r="V411" s="1">
        <f>'Geometry Calculator'!V$11/2*SIN(RADIANS('Background calcs'!$G411))+V$81</f>
        <v>-99903.719315221868</v>
      </c>
      <c r="W411" s="1"/>
      <c r="X411" s="1">
        <f>'Geometry Calculator'!X$11/2*SIN(RADIANS('Background calcs'!$G411))+X$81</f>
        <v>-99901.001715248291</v>
      </c>
      <c r="Y411" s="1"/>
      <c r="Z411" s="1">
        <f>'Geometry Calculator'!Z$11/2*SIN(RADIANS('Background calcs'!$G411))+Z$81</f>
        <v>-99901.001715248291</v>
      </c>
      <c r="AB411" s="159"/>
      <c r="AC411" s="1"/>
      <c r="AD411" s="1"/>
    </row>
    <row r="412" spans="6:30" x14ac:dyDescent="0.25">
      <c r="F412" t="s">
        <v>266</v>
      </c>
      <c r="G412">
        <v>170</v>
      </c>
      <c r="H412" s="1">
        <f>'Geometry Calculator'!H$11/2*SIN(RADIANS('Background calcs'!$G412))+H$81</f>
        <v>64.249825736764208</v>
      </c>
      <c r="I412" s="1"/>
      <c r="J412" s="1">
        <f>'Geometry Calculator'!J$11/2*SIN(RADIANS('Background calcs'!$G412))+J$81</f>
        <v>72.465362980432715</v>
      </c>
      <c r="K412" s="1"/>
      <c r="L412" s="1">
        <f>'Geometry Calculator'!L$11/2*SIN(RADIANS('Background calcs'!$G412))+L$81</f>
        <v>-99934.534637019562</v>
      </c>
      <c r="M412" s="1"/>
      <c r="N412" s="1">
        <f>'Geometry Calculator'!N$11/2*SIN(RADIANS('Background calcs'!$G412))+N$81</f>
        <v>-99934.534637019562</v>
      </c>
      <c r="O412" s="1"/>
      <c r="P412" s="1">
        <f>'Geometry Calculator'!P$11/2*SIN(RADIANS('Background calcs'!$G412))+P$81</f>
        <v>-99936.965711506899</v>
      </c>
      <c r="Q412" s="1"/>
      <c r="R412" s="1">
        <f>'Geometry Calculator'!R$11/2*SIN(RADIANS('Background calcs'!$G412))+R$81</f>
        <v>-99923.468757463736</v>
      </c>
      <c r="S412" s="1"/>
      <c r="T412" s="1">
        <f>'Geometry Calculator'!T$11/2*SIN(RADIANS('Background calcs'!$G412))+T$81</f>
        <v>-99935.402877907909</v>
      </c>
      <c r="U412" s="1"/>
      <c r="V412" s="1">
        <f>'Geometry Calculator'!V$11/2*SIN(RADIANS('Background calcs'!$G412))+V$81</f>
        <v>-99935.402877907909</v>
      </c>
      <c r="W412" s="1"/>
      <c r="X412" s="1">
        <f>'Geometry Calculator'!X$11/2*SIN(RADIANS('Background calcs'!$G412))+X$81</f>
        <v>-99933.579572042392</v>
      </c>
      <c r="Y412" s="1"/>
      <c r="Z412" s="1">
        <f>'Geometry Calculator'!Z$11/2*SIN(RADIANS('Background calcs'!$G412))+Z$81</f>
        <v>-99933.579572042392</v>
      </c>
      <c r="AB412" s="159"/>
      <c r="AC412" s="1"/>
      <c r="AD412" s="1"/>
    </row>
    <row r="413" spans="6:30" x14ac:dyDescent="0.25">
      <c r="F413" t="s">
        <v>267</v>
      </c>
      <c r="G413">
        <v>175</v>
      </c>
      <c r="H413" s="1">
        <f>'Geometry Calculator'!H$11/2*SIN(RADIANS('Background calcs'!$G413))+H$81</f>
        <v>32.247624816633532</v>
      </c>
      <c r="I413" s="1"/>
      <c r="J413" s="1">
        <f>'Geometry Calculator'!J$11/2*SIN(RADIANS('Background calcs'!$G413))+J$81</f>
        <v>39.857715015867136</v>
      </c>
      <c r="K413" s="1"/>
      <c r="L413" s="1">
        <f>'Geometry Calculator'!L$11/2*SIN(RADIANS('Background calcs'!$G413))+L$81</f>
        <v>-99967.142284984133</v>
      </c>
      <c r="M413" s="1"/>
      <c r="N413" s="1">
        <f>'Geometry Calculator'!N$11/2*SIN(RADIANS('Background calcs'!$G413))+N$81</f>
        <v>-99967.142284984133</v>
      </c>
      <c r="O413" s="1"/>
      <c r="P413" s="1">
        <f>'Geometry Calculator'!P$11/2*SIN(RADIANS('Background calcs'!$G413))+P$81</f>
        <v>-99968.362465382597</v>
      </c>
      <c r="Q413" s="1"/>
      <c r="R413" s="1">
        <f>'Geometry Calculator'!R$11/2*SIN(RADIANS('Background calcs'!$G413))+R$81</f>
        <v>-99955.860174340996</v>
      </c>
      <c r="S413" s="1"/>
      <c r="T413" s="1">
        <f>'Geometry Calculator'!T$11/2*SIN(RADIANS('Background calcs'!$G413))+T$81</f>
        <v>-99967.578063697874</v>
      </c>
      <c r="U413" s="1"/>
      <c r="V413" s="1">
        <f>'Geometry Calculator'!V$11/2*SIN(RADIANS('Background calcs'!$G413))+V$81</f>
        <v>-99967.578063697874</v>
      </c>
      <c r="W413" s="1"/>
      <c r="X413" s="1">
        <f>'Geometry Calculator'!X$11/2*SIN(RADIANS('Background calcs'!$G413))+X$81</f>
        <v>-99966.662928399019</v>
      </c>
      <c r="Y413" s="1"/>
      <c r="Z413" s="1">
        <f>'Geometry Calculator'!Z$11/2*SIN(RADIANS('Background calcs'!$G413))+Z$81</f>
        <v>-99966.662928399019</v>
      </c>
      <c r="AB413" s="159"/>
      <c r="AC413" s="1"/>
      <c r="AD413" s="1"/>
    </row>
    <row r="414" spans="6:30" x14ac:dyDescent="0.25">
      <c r="F414" t="s">
        <v>163</v>
      </c>
      <c r="G414">
        <v>180</v>
      </c>
      <c r="H414" s="1">
        <f>'Geometry Calculator'!H$11/2*SIN(RADIANS('Background calcs'!$G414))+H$81</f>
        <v>4.533049283161894E-14</v>
      </c>
      <c r="I414" s="1"/>
      <c r="J414" s="1">
        <f>'Geometry Calculator'!J$11/2*SIN(RADIANS('Background calcs'!$G414))+J$81</f>
        <v>7.0000000000000444</v>
      </c>
      <c r="K414" s="1"/>
      <c r="L414" s="1">
        <f>'Geometry Calculator'!L$11/2*SIN(RADIANS('Background calcs'!$G414))+L$81</f>
        <v>-100000</v>
      </c>
      <c r="M414" s="1"/>
      <c r="N414" s="1">
        <f>'Geometry Calculator'!N$11/2*SIN(RADIANS('Background calcs'!$G414))+N$81</f>
        <v>-100000</v>
      </c>
      <c r="O414" s="1"/>
      <c r="P414" s="1">
        <f>'Geometry Calculator'!P$11/2*SIN(RADIANS('Background calcs'!$G414))+P$81</f>
        <v>-100000</v>
      </c>
      <c r="Q414" s="1"/>
      <c r="R414" s="1">
        <f>'Geometry Calculator'!R$11/2*SIN(RADIANS('Background calcs'!$G414))+R$81</f>
        <v>-99988.5</v>
      </c>
      <c r="S414" s="1"/>
      <c r="T414" s="1">
        <f>'Geometry Calculator'!T$11/2*SIN(RADIANS('Background calcs'!$G414))+T$81</f>
        <v>-100000</v>
      </c>
      <c r="U414" s="1"/>
      <c r="V414" s="1">
        <f>'Geometry Calculator'!V$11/2*SIN(RADIANS('Background calcs'!$G414))+V$81</f>
        <v>-100000</v>
      </c>
      <c r="W414" s="1"/>
      <c r="X414" s="1">
        <f>'Geometry Calculator'!X$11/2*SIN(RADIANS('Background calcs'!$G414))+X$81</f>
        <v>-100000</v>
      </c>
      <c r="Y414" s="1"/>
      <c r="Z414" s="1">
        <f>'Geometry Calculator'!Z$11/2*SIN(RADIANS('Background calcs'!$G414))+Z$81</f>
        <v>-100000</v>
      </c>
      <c r="AB414" s="159"/>
      <c r="AC414" s="1"/>
      <c r="AD414" s="1"/>
    </row>
    <row r="415" spans="6:30" x14ac:dyDescent="0.25">
      <c r="F415" t="s">
        <v>268</v>
      </c>
      <c r="G415">
        <v>185</v>
      </c>
      <c r="H415" s="1">
        <f>'Geometry Calculator'!H$11/2*SIN(RADIANS('Background calcs'!$G415))+H$81</f>
        <v>-32.24762481663344</v>
      </c>
      <c r="I415" s="1"/>
      <c r="J415" s="1">
        <f>'Geometry Calculator'!J$11/2*SIN(RADIANS('Background calcs'!$G415))+J$81</f>
        <v>-25.857715015867043</v>
      </c>
      <c r="K415" s="1"/>
      <c r="L415" s="1">
        <f>'Geometry Calculator'!L$11/2*SIN(RADIANS('Background calcs'!$G415))+L$81</f>
        <v>-100032.85771501587</v>
      </c>
      <c r="M415" s="1"/>
      <c r="N415" s="1">
        <f>'Geometry Calculator'!N$11/2*SIN(RADIANS('Background calcs'!$G415))+N$81</f>
        <v>-100032.85771501587</v>
      </c>
      <c r="O415" s="1"/>
      <c r="P415" s="1">
        <f>'Geometry Calculator'!P$11/2*SIN(RADIANS('Background calcs'!$G415))+P$81</f>
        <v>-100031.6375346174</v>
      </c>
      <c r="Q415" s="1"/>
      <c r="R415" s="1">
        <f>'Geometry Calculator'!R$11/2*SIN(RADIANS('Background calcs'!$G415))+R$81</f>
        <v>-100021.139825659</v>
      </c>
      <c r="S415" s="1"/>
      <c r="T415" s="1">
        <f>'Geometry Calculator'!T$11/2*SIN(RADIANS('Background calcs'!$G415))+T$81</f>
        <v>-100032.42193630213</v>
      </c>
      <c r="U415" s="1"/>
      <c r="V415" s="1">
        <f>'Geometry Calculator'!V$11/2*SIN(RADIANS('Background calcs'!$G415))+V$81</f>
        <v>-100032.42193630213</v>
      </c>
      <c r="W415" s="1"/>
      <c r="X415" s="1">
        <f>'Geometry Calculator'!X$11/2*SIN(RADIANS('Background calcs'!$G415))+X$81</f>
        <v>-100033.33707160098</v>
      </c>
      <c r="Y415" s="1"/>
      <c r="Z415" s="1">
        <f>'Geometry Calculator'!Z$11/2*SIN(RADIANS('Background calcs'!$G415))+Z$81</f>
        <v>-100033.33707160098</v>
      </c>
      <c r="AB415" s="159"/>
      <c r="AC415" s="1"/>
      <c r="AD415" s="1"/>
    </row>
    <row r="416" spans="6:30" x14ac:dyDescent="0.25">
      <c r="F416" t="s">
        <v>269</v>
      </c>
      <c r="G416">
        <v>190</v>
      </c>
      <c r="H416" s="1">
        <f>'Geometry Calculator'!H$11/2*SIN(RADIANS('Background calcs'!$G416))+H$81</f>
        <v>-64.249825736764279</v>
      </c>
      <c r="I416" s="1"/>
      <c r="J416" s="1">
        <f>'Geometry Calculator'!J$11/2*SIN(RADIANS('Background calcs'!$G416))+J$81</f>
        <v>-58.465362980432786</v>
      </c>
      <c r="K416" s="1"/>
      <c r="L416" s="1">
        <f>'Geometry Calculator'!L$11/2*SIN(RADIANS('Background calcs'!$G416))+L$81</f>
        <v>-100065.46536298044</v>
      </c>
      <c r="M416" s="1"/>
      <c r="N416" s="1">
        <f>'Geometry Calculator'!N$11/2*SIN(RADIANS('Background calcs'!$G416))+N$81</f>
        <v>-100065.46536298044</v>
      </c>
      <c r="O416" s="1"/>
      <c r="P416" s="1">
        <f>'Geometry Calculator'!P$11/2*SIN(RADIANS('Background calcs'!$G416))+P$81</f>
        <v>-100063.0342884931</v>
      </c>
      <c r="Q416" s="1"/>
      <c r="R416" s="1">
        <f>'Geometry Calculator'!R$11/2*SIN(RADIANS('Background calcs'!$G416))+R$81</f>
        <v>-100053.53124253626</v>
      </c>
      <c r="S416" s="1"/>
      <c r="T416" s="1">
        <f>'Geometry Calculator'!T$11/2*SIN(RADIANS('Background calcs'!$G416))+T$81</f>
        <v>-100064.59712209209</v>
      </c>
      <c r="U416" s="1"/>
      <c r="V416" s="1">
        <f>'Geometry Calculator'!V$11/2*SIN(RADIANS('Background calcs'!$G416))+V$81</f>
        <v>-100064.59712209209</v>
      </c>
      <c r="W416" s="1"/>
      <c r="X416" s="1">
        <f>'Geometry Calculator'!X$11/2*SIN(RADIANS('Background calcs'!$G416))+X$81</f>
        <v>-100066.42042795761</v>
      </c>
      <c r="Y416" s="1"/>
      <c r="Z416" s="1">
        <f>'Geometry Calculator'!Z$11/2*SIN(RADIANS('Background calcs'!$G416))+Z$81</f>
        <v>-100066.42042795761</v>
      </c>
      <c r="AB416" s="159"/>
      <c r="AC416" s="1"/>
      <c r="AD416" s="1"/>
    </row>
    <row r="417" spans="6:30" x14ac:dyDescent="0.25">
      <c r="F417" t="s">
        <v>164</v>
      </c>
      <c r="G417">
        <v>195</v>
      </c>
      <c r="H417" s="1">
        <f>'Geometry Calculator'!H$11/2*SIN(RADIANS('Background calcs'!$G417))+H$81</f>
        <v>-95.7630466879327</v>
      </c>
      <c r="I417" s="1"/>
      <c r="J417" s="1">
        <f>'Geometry Calculator'!J$11/2*SIN(RADIANS('Background calcs'!$G417))+J$81</f>
        <v>-90.574780003650346</v>
      </c>
      <c r="K417" s="1"/>
      <c r="L417" s="1">
        <f>'Geometry Calculator'!L$11/2*SIN(RADIANS('Background calcs'!$G417))+L$81</f>
        <v>-100097.57478000365</v>
      </c>
      <c r="M417" s="1"/>
      <c r="N417" s="1">
        <f>'Geometry Calculator'!N$11/2*SIN(RADIANS('Background calcs'!$G417))+N$81</f>
        <v>-100097.57478000365</v>
      </c>
      <c r="O417" s="1"/>
      <c r="P417" s="1">
        <f>'Geometry Calculator'!P$11/2*SIN(RADIANS('Background calcs'!$G417))+P$81</f>
        <v>-100093.95131337222</v>
      </c>
      <c r="Q417" s="1"/>
      <c r="R417" s="1">
        <f>'Geometry Calculator'!R$11/2*SIN(RADIANS('Background calcs'!$G417))+R$81</f>
        <v>-100085.42773239089</v>
      </c>
      <c r="S417" s="1"/>
      <c r="T417" s="1">
        <f>'Geometry Calculator'!T$11/2*SIN(RADIANS('Background calcs'!$G417))+T$81</f>
        <v>-100096.28068477813</v>
      </c>
      <c r="U417" s="1"/>
      <c r="V417" s="1">
        <f>'Geometry Calculator'!V$11/2*SIN(RADIANS('Background calcs'!$G417))+V$81</f>
        <v>-100096.28068477813</v>
      </c>
      <c r="W417" s="1"/>
      <c r="X417" s="1">
        <f>'Geometry Calculator'!X$11/2*SIN(RADIANS('Background calcs'!$G417))+X$81</f>
        <v>-100098.99828475171</v>
      </c>
      <c r="Y417" s="1"/>
      <c r="Z417" s="1">
        <f>'Geometry Calculator'!Z$11/2*SIN(RADIANS('Background calcs'!$G417))+Z$81</f>
        <v>-100098.99828475171</v>
      </c>
      <c r="AB417" s="159"/>
      <c r="AC417" s="1"/>
      <c r="AD417" s="1"/>
    </row>
    <row r="418" spans="6:30" x14ac:dyDescent="0.25">
      <c r="F418" t="s">
        <v>270</v>
      </c>
      <c r="G418">
        <v>200</v>
      </c>
      <c r="H418" s="1">
        <f>'Geometry Calculator'!H$11/2*SIN(RADIANS('Background calcs'!$G418))+H$81</f>
        <v>-126.54745303049741</v>
      </c>
      <c r="I418" s="1"/>
      <c r="J418" s="1">
        <f>'Geometry Calculator'!J$11/2*SIN(RADIANS('Background calcs'!$G418))+J$81</f>
        <v>-121.94159403377708</v>
      </c>
      <c r="K418" s="1"/>
      <c r="L418" s="1">
        <f>'Geometry Calculator'!L$11/2*SIN(RADIANS('Background calcs'!$G418))+L$81</f>
        <v>-100128.94159403378</v>
      </c>
      <c r="M418" s="1"/>
      <c r="N418" s="1">
        <f>'Geometry Calculator'!N$11/2*SIN(RADIANS('Background calcs'!$G418))+N$81</f>
        <v>-100128.94159403378</v>
      </c>
      <c r="O418" s="1"/>
      <c r="P418" s="1">
        <f>'Geometry Calculator'!P$11/2*SIN(RADIANS('Background calcs'!$G418))+P$81</f>
        <v>-100124.15331202722</v>
      </c>
      <c r="Q418" s="1"/>
      <c r="R418" s="1">
        <f>'Geometry Calculator'!R$11/2*SIN(RADIANS('Background calcs'!$G418))+R$81</f>
        <v>-100116.58654367547</v>
      </c>
      <c r="S418" s="1"/>
      <c r="T418" s="1">
        <f>'Geometry Calculator'!T$11/2*SIN(RADIANS('Background calcs'!$G418))+T$81</f>
        <v>-100127.23149331714</v>
      </c>
      <c r="U418" s="1"/>
      <c r="V418" s="1">
        <f>'Geometry Calculator'!V$11/2*SIN(RADIANS('Background calcs'!$G418))+V$81</f>
        <v>-100127.23149331714</v>
      </c>
      <c r="W418" s="1"/>
      <c r="X418" s="1">
        <f>'Geometry Calculator'!X$11/2*SIN(RADIANS('Background calcs'!$G418))+X$81</f>
        <v>-100130.82270482207</v>
      </c>
      <c r="Y418" s="1"/>
      <c r="Z418" s="1">
        <f>'Geometry Calculator'!Z$11/2*SIN(RADIANS('Background calcs'!$G418))+Z$81</f>
        <v>-100130.82270482207</v>
      </c>
      <c r="AB418" s="159"/>
      <c r="AC418" s="1"/>
      <c r="AD418" s="1"/>
    </row>
    <row r="419" spans="6:30" x14ac:dyDescent="0.25">
      <c r="F419" t="s">
        <v>271</v>
      </c>
      <c r="G419">
        <v>205</v>
      </c>
      <c r="H419" s="1">
        <f>'Geometry Calculator'!H$11/2*SIN(RADIANS('Background calcs'!$G419))+H$81</f>
        <v>-156.36875684405874</v>
      </c>
      <c r="I419" s="1"/>
      <c r="J419" s="1">
        <f>'Geometry Calculator'!J$11/2*SIN(RADIANS('Background calcs'!$G419))+J$81</f>
        <v>-152.32708467624363</v>
      </c>
      <c r="K419" s="1"/>
      <c r="L419" s="1">
        <f>'Geometry Calculator'!L$11/2*SIN(RADIANS('Background calcs'!$G419))+L$81</f>
        <v>-100159.32708467625</v>
      </c>
      <c r="M419" s="1"/>
      <c r="N419" s="1">
        <f>'Geometry Calculator'!N$11/2*SIN(RADIANS('Background calcs'!$G419))+N$81</f>
        <v>-100159.32708467625</v>
      </c>
      <c r="O419" s="1"/>
      <c r="P419" s="1">
        <f>'Geometry Calculator'!P$11/2*SIN(RADIANS('Background calcs'!$G419))+P$81</f>
        <v>-100153.41042901187</v>
      </c>
      <c r="Q419" s="1"/>
      <c r="R419" s="1">
        <f>'Geometry Calculator'!R$11/2*SIN(RADIANS('Background calcs'!$G419))+R$81</f>
        <v>-100146.77053902189</v>
      </c>
      <c r="S419" s="1"/>
      <c r="T419" s="1">
        <f>'Geometry Calculator'!T$11/2*SIN(RADIANS('Background calcs'!$G419))+T$81</f>
        <v>-100157.21399336754</v>
      </c>
      <c r="U419" s="1"/>
      <c r="V419" s="1">
        <f>'Geometry Calculator'!V$11/2*SIN(RADIANS('Background calcs'!$G419))+V$81</f>
        <v>-100157.21399336754</v>
      </c>
      <c r="W419" s="1"/>
      <c r="X419" s="1">
        <f>'Geometry Calculator'!X$11/2*SIN(RADIANS('Background calcs'!$G419))+X$81</f>
        <v>-100161.65148511581</v>
      </c>
      <c r="Y419" s="1"/>
      <c r="Z419" s="1">
        <f>'Geometry Calculator'!Z$11/2*SIN(RADIANS('Background calcs'!$G419))+Z$81</f>
        <v>-100161.65148511581</v>
      </c>
      <c r="AB419" s="159"/>
      <c r="AC419" s="1"/>
      <c r="AD419" s="1"/>
    </row>
    <row r="420" spans="6:30" x14ac:dyDescent="0.25">
      <c r="F420" t="s">
        <v>165</v>
      </c>
      <c r="G420">
        <v>210</v>
      </c>
      <c r="H420" s="1">
        <f>'Geometry Calculator'!H$11/2*SIN(RADIANS('Background calcs'!$G420))+H$81</f>
        <v>-185.00000000000003</v>
      </c>
      <c r="I420" s="1"/>
      <c r="J420" s="1">
        <f>'Geometry Calculator'!J$11/2*SIN(RADIANS('Background calcs'!$G420))+J$81</f>
        <v>-181.50000000000003</v>
      </c>
      <c r="K420" s="1"/>
      <c r="L420" s="1">
        <f>'Geometry Calculator'!L$11/2*SIN(RADIANS('Background calcs'!$G420))+L$81</f>
        <v>-100188.5</v>
      </c>
      <c r="M420" s="1"/>
      <c r="N420" s="1">
        <f>'Geometry Calculator'!N$11/2*SIN(RADIANS('Background calcs'!$G420))+N$81</f>
        <v>-100188.5</v>
      </c>
      <c r="O420" s="1"/>
      <c r="P420" s="1">
        <f>'Geometry Calculator'!P$11/2*SIN(RADIANS('Background calcs'!$G420))+P$81</f>
        <v>-100181.5</v>
      </c>
      <c r="Q420" s="1"/>
      <c r="R420" s="1">
        <f>'Geometry Calculator'!R$11/2*SIN(RADIANS('Background calcs'!$G420))+R$81</f>
        <v>-100175.75</v>
      </c>
      <c r="S420" s="1"/>
      <c r="T420" s="1">
        <f>'Geometry Calculator'!T$11/2*SIN(RADIANS('Background calcs'!$G420))+T$81</f>
        <v>-100186</v>
      </c>
      <c r="U420" s="1"/>
      <c r="V420" s="1">
        <f>'Geometry Calculator'!V$11/2*SIN(RADIANS('Background calcs'!$G420))+V$81</f>
        <v>-100186</v>
      </c>
      <c r="W420" s="1"/>
      <c r="X420" s="1">
        <f>'Geometry Calculator'!X$11/2*SIN(RADIANS('Background calcs'!$G420))+X$81</f>
        <v>-100191.25</v>
      </c>
      <c r="Y420" s="1"/>
      <c r="Z420" s="1">
        <f>'Geometry Calculator'!Z$11/2*SIN(RADIANS('Background calcs'!$G420))+Z$81</f>
        <v>-100191.25</v>
      </c>
      <c r="AB420" s="159"/>
      <c r="AC420" s="1"/>
      <c r="AD420" s="1"/>
    </row>
    <row r="421" spans="6:30" x14ac:dyDescent="0.25">
      <c r="F421" t="s">
        <v>272</v>
      </c>
      <c r="G421">
        <v>215</v>
      </c>
      <c r="H421" s="1">
        <f>'Geometry Calculator'!H$11/2*SIN(RADIANS('Background calcs'!$G421))+H$81</f>
        <v>-212.22328144988708</v>
      </c>
      <c r="I421" s="1"/>
      <c r="J421" s="1">
        <f>'Geometry Calculator'!J$11/2*SIN(RADIANS('Background calcs'!$G421))+J$81</f>
        <v>-209.2383165043444</v>
      </c>
      <c r="K421" s="1"/>
      <c r="L421" s="1">
        <f>'Geometry Calculator'!L$11/2*SIN(RADIANS('Background calcs'!$G421))+L$81</f>
        <v>-100216.23831650434</v>
      </c>
      <c r="M421" s="1"/>
      <c r="N421" s="1">
        <f>'Geometry Calculator'!N$11/2*SIN(RADIANS('Background calcs'!$G421))+N$81</f>
        <v>-100216.23831650434</v>
      </c>
      <c r="O421" s="1"/>
      <c r="P421" s="1">
        <f>'Geometry Calculator'!P$11/2*SIN(RADIANS('Background calcs'!$G421))+P$81</f>
        <v>-100208.20824639543</v>
      </c>
      <c r="Q421" s="1"/>
      <c r="R421" s="1">
        <f>'Geometry Calculator'!R$11/2*SIN(RADIANS('Background calcs'!$G421))+R$81</f>
        <v>-100203.30437541347</v>
      </c>
      <c r="S421" s="1"/>
      <c r="T421" s="1">
        <f>'Geometry Calculator'!T$11/2*SIN(RADIANS('Background calcs'!$G421))+T$81</f>
        <v>-100213.37043432258</v>
      </c>
      <c r="U421" s="1"/>
      <c r="V421" s="1">
        <f>'Geometry Calculator'!V$11/2*SIN(RADIANS('Background calcs'!$G421))+V$81</f>
        <v>-100213.37043432258</v>
      </c>
      <c r="W421" s="1"/>
      <c r="X421" s="1">
        <f>'Geometry Calculator'!X$11/2*SIN(RADIANS('Background calcs'!$G421))+X$81</f>
        <v>-100219.39298690428</v>
      </c>
      <c r="Y421" s="1"/>
      <c r="Z421" s="1">
        <f>'Geometry Calculator'!Z$11/2*SIN(RADIANS('Background calcs'!$G421))+Z$81</f>
        <v>-100219.39298690428</v>
      </c>
      <c r="AB421" s="159"/>
      <c r="AC421" s="1"/>
      <c r="AD421" s="1"/>
    </row>
    <row r="422" spans="6:30" x14ac:dyDescent="0.25">
      <c r="F422" t="s">
        <v>273</v>
      </c>
      <c r="G422">
        <v>220</v>
      </c>
      <c r="H422" s="1">
        <f>'Geometry Calculator'!H$11/2*SIN(RADIANS('Background calcs'!$G422))+H$81</f>
        <v>-237.83141558401951</v>
      </c>
      <c r="I422" s="1"/>
      <c r="J422" s="1">
        <f>'Geometry Calculator'!J$11/2*SIN(RADIANS('Background calcs'!$G422))+J$81</f>
        <v>-235.33092885182529</v>
      </c>
      <c r="K422" s="1"/>
      <c r="L422" s="1">
        <f>'Geometry Calculator'!L$11/2*SIN(RADIANS('Background calcs'!$G422))+L$81</f>
        <v>-100242.33092885182</v>
      </c>
      <c r="M422" s="1"/>
      <c r="N422" s="1">
        <f>'Geometry Calculator'!N$11/2*SIN(RADIANS('Background calcs'!$G422))+N$81</f>
        <v>-100242.33092885182</v>
      </c>
      <c r="O422" s="1"/>
      <c r="P422" s="1">
        <f>'Geometry Calculator'!P$11/2*SIN(RADIANS('Background calcs'!$G422))+P$81</f>
        <v>-100233.33190231622</v>
      </c>
      <c r="Q422" s="1"/>
      <c r="R422" s="1">
        <f>'Geometry Calculator'!R$11/2*SIN(RADIANS('Background calcs'!$G422))+R$81</f>
        <v>-100229.22395982761</v>
      </c>
      <c r="S422" s="1"/>
      <c r="T422" s="1">
        <f>'Geometry Calculator'!T$11/2*SIN(RADIANS('Background calcs'!$G422))+T$81</f>
        <v>-100239.11699080339</v>
      </c>
      <c r="U422" s="1"/>
      <c r="V422" s="1">
        <f>'Geometry Calculator'!V$11/2*SIN(RADIANS('Background calcs'!$G422))+V$81</f>
        <v>-100239.11699080339</v>
      </c>
      <c r="W422" s="1"/>
      <c r="X422" s="1">
        <f>'Geometry Calculator'!X$11/2*SIN(RADIANS('Background calcs'!$G422))+X$81</f>
        <v>-100245.86626070511</v>
      </c>
      <c r="Y422" s="1"/>
      <c r="Z422" s="1">
        <f>'Geometry Calculator'!Z$11/2*SIN(RADIANS('Background calcs'!$G422))+Z$81</f>
        <v>-100245.86626070511</v>
      </c>
      <c r="AB422" s="159"/>
      <c r="AC422" s="1"/>
      <c r="AD422" s="1"/>
    </row>
    <row r="423" spans="6:30" x14ac:dyDescent="0.25">
      <c r="F423" t="s">
        <v>166</v>
      </c>
      <c r="G423">
        <v>225</v>
      </c>
      <c r="H423" s="1">
        <f>'Geometry Calculator'!H$11/2*SIN(RADIANS('Background calcs'!$G423))+H$81</f>
        <v>-261.62950903902254</v>
      </c>
      <c r="I423" s="1"/>
      <c r="J423" s="1">
        <f>'Geometry Calculator'!J$11/2*SIN(RADIANS('Background calcs'!$G423))+J$81</f>
        <v>-259.57925650732841</v>
      </c>
      <c r="K423" s="1"/>
      <c r="L423" s="1">
        <f>'Geometry Calculator'!L$11/2*SIN(RADIANS('Background calcs'!$G423))+L$81</f>
        <v>-100266.57925650734</v>
      </c>
      <c r="M423" s="1"/>
      <c r="N423" s="1">
        <f>'Geometry Calculator'!N$11/2*SIN(RADIANS('Background calcs'!$G423))+N$81</f>
        <v>-100266.57925650734</v>
      </c>
      <c r="O423" s="1"/>
      <c r="P423" s="1">
        <f>'Geometry Calculator'!P$11/2*SIN(RADIANS('Background calcs'!$G423))+P$81</f>
        <v>-100256.67976157072</v>
      </c>
      <c r="Q423" s="1"/>
      <c r="R423" s="1">
        <f>'Geometry Calculator'!R$11/2*SIN(RADIANS('Background calcs'!$G423))+R$81</f>
        <v>-100253.31148955435</v>
      </c>
      <c r="S423" s="1"/>
      <c r="T423" s="1">
        <f>'Geometry Calculator'!T$11/2*SIN(RADIANS('Background calcs'!$G423))+T$81</f>
        <v>-100263.04372260139</v>
      </c>
      <c r="U423" s="1"/>
      <c r="V423" s="1">
        <f>'Geometry Calculator'!V$11/2*SIN(RADIANS('Background calcs'!$G423))+V$81</f>
        <v>-100263.04372260139</v>
      </c>
      <c r="W423" s="1"/>
      <c r="X423" s="1">
        <f>'Geometry Calculator'!X$11/2*SIN(RADIANS('Background calcs'!$G423))+X$81</f>
        <v>-100270.46834380385</v>
      </c>
      <c r="Y423" s="1"/>
      <c r="Z423" s="1">
        <f>'Geometry Calculator'!Z$11/2*SIN(RADIANS('Background calcs'!$G423))+Z$81</f>
        <v>-100270.46834380385</v>
      </c>
      <c r="AB423" s="159"/>
      <c r="AC423" s="1"/>
      <c r="AD423" s="1"/>
    </row>
    <row r="424" spans="6:30" x14ac:dyDescent="0.25">
      <c r="F424" t="s">
        <v>274</v>
      </c>
      <c r="G424">
        <v>230</v>
      </c>
      <c r="H424" s="1">
        <f>'Geometry Calculator'!H$11/2*SIN(RADIANS('Background calcs'!$G424))+H$81</f>
        <v>-283.4364439540218</v>
      </c>
      <c r="I424" s="1"/>
      <c r="J424" s="1">
        <f>'Geometry Calculator'!J$11/2*SIN(RADIANS('Background calcs'!$G424))+J$81</f>
        <v>-281.79875505585466</v>
      </c>
      <c r="K424" s="1"/>
      <c r="L424" s="1">
        <f>'Geometry Calculator'!L$11/2*SIN(RADIANS('Background calcs'!$G424))+L$81</f>
        <v>-100288.79875505586</v>
      </c>
      <c r="M424" s="1"/>
      <c r="N424" s="1">
        <f>'Geometry Calculator'!N$11/2*SIN(RADIANS('Background calcs'!$G424))+N$81</f>
        <v>-100288.79875505586</v>
      </c>
      <c r="O424" s="1"/>
      <c r="P424" s="1">
        <f>'Geometry Calculator'!P$11/2*SIN(RADIANS('Background calcs'!$G424))+P$81</f>
        <v>-100278.07413285218</v>
      </c>
      <c r="Q424" s="1"/>
      <c r="R424" s="1">
        <f>'Geometry Calculator'!R$11/2*SIN(RADIANS('Background calcs'!$G424))+R$81</f>
        <v>-100275.38364394805</v>
      </c>
      <c r="S424" s="1"/>
      <c r="T424" s="1">
        <f>'Geometry Calculator'!T$11/2*SIN(RADIANS('Background calcs'!$G424))+T$81</f>
        <v>-100284.96853284026</v>
      </c>
      <c r="U424" s="1"/>
      <c r="V424" s="1">
        <f>'Geometry Calculator'!V$11/2*SIN(RADIANS('Background calcs'!$G424))+V$81</f>
        <v>-100284.96853284026</v>
      </c>
      <c r="W424" s="1"/>
      <c r="X424" s="1">
        <f>'Geometry Calculator'!X$11/2*SIN(RADIANS('Background calcs'!$G424))+X$81</f>
        <v>-100293.01199949301</v>
      </c>
      <c r="Y424" s="1"/>
      <c r="Z424" s="1">
        <f>'Geometry Calculator'!Z$11/2*SIN(RADIANS('Background calcs'!$G424))+Z$81</f>
        <v>-100293.01199949301</v>
      </c>
      <c r="AB424" s="159"/>
      <c r="AC424" s="1"/>
      <c r="AD424" s="1"/>
    </row>
    <row r="425" spans="6:30" x14ac:dyDescent="0.25">
      <c r="F425" t="s">
        <v>275</v>
      </c>
      <c r="G425">
        <v>235</v>
      </c>
      <c r="H425" s="1">
        <f>'Geometry Calculator'!H$11/2*SIN(RADIANS('Background calcs'!$G425))+H$81</f>
        <v>-303.08625638692689</v>
      </c>
      <c r="I425" s="1"/>
      <c r="J425" s="1">
        <f>'Geometry Calculator'!J$11/2*SIN(RADIANS('Background calcs'!$G425))+J$81</f>
        <v>-301.82032069694981</v>
      </c>
      <c r="K425" s="1"/>
      <c r="L425" s="1">
        <f>'Geometry Calculator'!L$11/2*SIN(RADIANS('Background calcs'!$G425))+L$81</f>
        <v>-100308.82032069695</v>
      </c>
      <c r="M425" s="1"/>
      <c r="N425" s="1">
        <f>'Geometry Calculator'!N$11/2*SIN(RADIANS('Background calcs'!$G425))+N$81</f>
        <v>-100308.82032069695</v>
      </c>
      <c r="O425" s="1"/>
      <c r="P425" s="1">
        <f>'Geometry Calculator'!P$11/2*SIN(RADIANS('Background calcs'!$G425))+P$81</f>
        <v>-100297.3521920769</v>
      </c>
      <c r="Q425" s="1"/>
      <c r="R425" s="1">
        <f>'Geometry Calculator'!R$11/2*SIN(RADIANS('Background calcs'!$G425))+R$81</f>
        <v>-100295.27244058622</v>
      </c>
      <c r="S425" s="1"/>
      <c r="T425" s="1">
        <f>'Geometry Calculator'!T$11/2*SIN(RADIANS('Background calcs'!$G425))+T$81</f>
        <v>-100304.7245604755</v>
      </c>
      <c r="U425" s="1"/>
      <c r="V425" s="1">
        <f>'Geometry Calculator'!V$11/2*SIN(RADIANS('Background calcs'!$G425))+V$81</f>
        <v>-100304.7245604755</v>
      </c>
      <c r="W425" s="1"/>
      <c r="X425" s="1">
        <f>'Geometry Calculator'!X$11/2*SIN(RADIANS('Background calcs'!$G425))+X$81</f>
        <v>-100313.32565694053</v>
      </c>
      <c r="Y425" s="1"/>
      <c r="Z425" s="1">
        <f>'Geometry Calculator'!Z$11/2*SIN(RADIANS('Background calcs'!$G425))+Z$81</f>
        <v>-100313.32565694053</v>
      </c>
      <c r="AB425" s="159"/>
      <c r="AC425" s="1"/>
      <c r="AD425" s="1"/>
    </row>
    <row r="426" spans="6:30" x14ac:dyDescent="0.25">
      <c r="F426" t="s">
        <v>167</v>
      </c>
      <c r="G426">
        <v>240</v>
      </c>
      <c r="H426" s="1">
        <f>'Geometry Calculator'!H$11/2*SIN(RADIANS('Background calcs'!$G426))+H$81</f>
        <v>-320.42939940024218</v>
      </c>
      <c r="I426" s="1"/>
      <c r="J426" s="1">
        <f>'Geometry Calculator'!J$11/2*SIN(RADIANS('Background calcs'!$G426))+J$81</f>
        <v>-319.49157722673328</v>
      </c>
      <c r="K426" s="1"/>
      <c r="L426" s="1">
        <f>'Geometry Calculator'!L$11/2*SIN(RADIANS('Background calcs'!$G426))+L$81</f>
        <v>-100326.49157722673</v>
      </c>
      <c r="M426" s="1"/>
      <c r="N426" s="1">
        <f>'Geometry Calculator'!N$11/2*SIN(RADIANS('Background calcs'!$G426))+N$81</f>
        <v>-100326.49157722673</v>
      </c>
      <c r="O426" s="1"/>
      <c r="P426" s="1">
        <f>'Geometry Calculator'!P$11/2*SIN(RADIANS('Background calcs'!$G426))+P$81</f>
        <v>-100314.36722157375</v>
      </c>
      <c r="Q426" s="1"/>
      <c r="R426" s="1">
        <f>'Geometry Calculator'!R$11/2*SIN(RADIANS('Background calcs'!$G426))+R$81</f>
        <v>-100312.82651371727</v>
      </c>
      <c r="S426" s="1"/>
      <c r="T426" s="1">
        <f>'Geometry Calculator'!T$11/2*SIN(RADIANS('Background calcs'!$G426))+T$81</f>
        <v>-100322.16145020782</v>
      </c>
      <c r="U426" s="1"/>
      <c r="V426" s="1">
        <f>'Geometry Calculator'!V$11/2*SIN(RADIANS('Background calcs'!$G426))+V$81</f>
        <v>-100322.16145020782</v>
      </c>
      <c r="W426" s="1"/>
      <c r="X426" s="1">
        <f>'Geometry Calculator'!X$11/2*SIN(RADIANS('Background calcs'!$G426))+X$81</f>
        <v>-100331.25471694754</v>
      </c>
      <c r="Y426" s="1"/>
      <c r="Z426" s="1">
        <f>'Geometry Calculator'!Z$11/2*SIN(RADIANS('Background calcs'!$G426))+Z$81</f>
        <v>-100331.25471694754</v>
      </c>
      <c r="AB426" s="159"/>
      <c r="AC426" s="1"/>
      <c r="AD426" s="1"/>
    </row>
    <row r="427" spans="6:30" x14ac:dyDescent="0.25">
      <c r="F427" t="s">
        <v>276</v>
      </c>
      <c r="G427">
        <v>245</v>
      </c>
      <c r="H427" s="1">
        <f>'Geometry Calculator'!H$11/2*SIN(RADIANS('Background calcs'!$G427))+H$81</f>
        <v>-335.33388120356051</v>
      </c>
      <c r="I427" s="1"/>
      <c r="J427" s="1">
        <f>'Geometry Calculator'!J$11/2*SIN(RADIANS('Background calcs'!$G427))+J$81</f>
        <v>-334.67803571281706</v>
      </c>
      <c r="K427" s="1"/>
      <c r="L427" s="1">
        <f>'Geometry Calculator'!L$11/2*SIN(RADIANS('Background calcs'!$G427))+L$81</f>
        <v>-100341.67803571282</v>
      </c>
      <c r="M427" s="1"/>
      <c r="N427" s="1">
        <f>'Geometry Calculator'!N$11/2*SIN(RADIANS('Background calcs'!$G427))+N$81</f>
        <v>-100341.67803571282</v>
      </c>
      <c r="O427" s="1"/>
      <c r="P427" s="1">
        <f>'Geometry Calculator'!P$11/2*SIN(RADIANS('Background calcs'!$G427))+P$81</f>
        <v>-100328.9897266943</v>
      </c>
      <c r="Q427" s="1"/>
      <c r="R427" s="1">
        <f>'Geometry Calculator'!R$11/2*SIN(RADIANS('Background calcs'!$G427))+R$81</f>
        <v>-100327.91226624523</v>
      </c>
      <c r="S427" s="1"/>
      <c r="T427" s="1">
        <f>'Geometry Calculator'!T$11/2*SIN(RADIANS('Background calcs'!$G427))+T$81</f>
        <v>-100337.14649677764</v>
      </c>
      <c r="U427" s="1"/>
      <c r="V427" s="1">
        <f>'Geometry Calculator'!V$11/2*SIN(RADIANS('Background calcs'!$G427))+V$81</f>
        <v>-100337.14649677764</v>
      </c>
      <c r="W427" s="1"/>
      <c r="X427" s="1">
        <f>'Geometry Calculator'!X$11/2*SIN(RADIANS('Background calcs'!$G427))+X$81</f>
        <v>-100346.66272854152</v>
      </c>
      <c r="Y427" s="1"/>
      <c r="Z427" s="1">
        <f>'Geometry Calculator'!Z$11/2*SIN(RADIANS('Background calcs'!$G427))+Z$81</f>
        <v>-100346.66272854152</v>
      </c>
      <c r="AB427" s="159"/>
      <c r="AC427" s="1"/>
      <c r="AD427" s="1"/>
    </row>
    <row r="428" spans="6:30" x14ac:dyDescent="0.25">
      <c r="F428" t="s">
        <v>277</v>
      </c>
      <c r="G428">
        <v>250</v>
      </c>
      <c r="H428" s="1">
        <f>'Geometry Calculator'!H$11/2*SIN(RADIANS('Background calcs'!$G428))+H$81</f>
        <v>-347.68626969078611</v>
      </c>
      <c r="I428" s="1"/>
      <c r="J428" s="1">
        <f>'Geometry Calculator'!J$11/2*SIN(RADIANS('Background calcs'!$G428))+J$81</f>
        <v>-347.26411803628747</v>
      </c>
      <c r="K428" s="1"/>
      <c r="L428" s="1">
        <f>'Geometry Calculator'!L$11/2*SIN(RADIANS('Background calcs'!$G428))+L$81</f>
        <v>-100354.26411803628</v>
      </c>
      <c r="M428" s="1"/>
      <c r="N428" s="1">
        <f>'Geometry Calculator'!N$11/2*SIN(RADIANS('Background calcs'!$G428))+N$81</f>
        <v>-100354.26411803628</v>
      </c>
      <c r="O428" s="1"/>
      <c r="P428" s="1">
        <f>'Geometry Calculator'!P$11/2*SIN(RADIANS('Background calcs'!$G428))+P$81</f>
        <v>-100341.10842134529</v>
      </c>
      <c r="Q428" s="1"/>
      <c r="R428" s="1">
        <f>'Geometry Calculator'!R$11/2*SIN(RADIANS('Background calcs'!$G428))+R$81</f>
        <v>-100340.41488648432</v>
      </c>
      <c r="S428" s="1"/>
      <c r="T428" s="1">
        <f>'Geometry Calculator'!T$11/2*SIN(RADIANS('Background calcs'!$G428))+T$81</f>
        <v>-100349.56565493236</v>
      </c>
      <c r="U428" s="1"/>
      <c r="V428" s="1">
        <f>'Geometry Calculator'!V$11/2*SIN(RADIANS('Background calcs'!$G428))+V$81</f>
        <v>-100349.56565493236</v>
      </c>
      <c r="W428" s="1"/>
      <c r="X428" s="1">
        <f>'Geometry Calculator'!X$11/2*SIN(RADIANS('Background calcs'!$G428))+X$81</f>
        <v>-100359.43242745061</v>
      </c>
      <c r="Y428" s="1"/>
      <c r="Z428" s="1">
        <f>'Geometry Calculator'!Z$11/2*SIN(RADIANS('Background calcs'!$G428))+Z$81</f>
        <v>-100359.43242745061</v>
      </c>
      <c r="AB428" s="159"/>
      <c r="AC428" s="1"/>
      <c r="AD428" s="1"/>
    </row>
    <row r="429" spans="6:30" x14ac:dyDescent="0.25">
      <c r="F429" t="s">
        <v>168</v>
      </c>
      <c r="G429">
        <v>255</v>
      </c>
      <c r="H429" s="1">
        <f>'Geometry Calculator'!H$11/2*SIN(RADIANS('Background calcs'!$G429))+H$81</f>
        <v>-357.39255572695527</v>
      </c>
      <c r="I429" s="1"/>
      <c r="J429" s="1">
        <f>'Geometry Calculator'!J$11/2*SIN(RADIANS('Background calcs'!$G429))+J$81</f>
        <v>-357.15403651097876</v>
      </c>
      <c r="K429" s="1"/>
      <c r="L429" s="1">
        <f>'Geometry Calculator'!L$11/2*SIN(RADIANS('Background calcs'!$G429))+L$81</f>
        <v>-100364.15403651098</v>
      </c>
      <c r="M429" s="1"/>
      <c r="N429" s="1">
        <f>'Geometry Calculator'!N$11/2*SIN(RADIANS('Background calcs'!$G429))+N$81</f>
        <v>-100364.15403651098</v>
      </c>
      <c r="O429" s="1"/>
      <c r="P429" s="1">
        <f>'Geometry Calculator'!P$11/2*SIN(RADIANS('Background calcs'!$G429))+P$81</f>
        <v>-100350.63107494292</v>
      </c>
      <c r="Q429" s="1"/>
      <c r="R429" s="1">
        <f>'Geometry Calculator'!R$11/2*SIN(RADIANS('Background calcs'!$G429))+R$81</f>
        <v>-100350.23922194526</v>
      </c>
      <c r="S429" s="1"/>
      <c r="T429" s="1">
        <f>'Geometry Calculator'!T$11/2*SIN(RADIANS('Background calcs'!$G429))+T$81</f>
        <v>-100359.32440737954</v>
      </c>
      <c r="U429" s="1"/>
      <c r="V429" s="1">
        <f>'Geometry Calculator'!V$11/2*SIN(RADIANS('Background calcs'!$G429))+V$81</f>
        <v>-100359.32440737954</v>
      </c>
      <c r="W429" s="1"/>
      <c r="X429" s="1">
        <f>'Geometry Calculator'!X$11/2*SIN(RADIANS('Background calcs'!$G429))+X$81</f>
        <v>-100369.46662855557</v>
      </c>
      <c r="Y429" s="1"/>
      <c r="Z429" s="1">
        <f>'Geometry Calculator'!Z$11/2*SIN(RADIANS('Background calcs'!$G429))+Z$81</f>
        <v>-100369.46662855557</v>
      </c>
      <c r="AB429" s="159"/>
      <c r="AC429" s="1"/>
      <c r="AD429" s="1"/>
    </row>
    <row r="430" spans="6:30" x14ac:dyDescent="0.25">
      <c r="F430" t="s">
        <v>278</v>
      </c>
      <c r="G430">
        <v>260</v>
      </c>
      <c r="H430" s="1">
        <f>'Geometry Calculator'!H$11/2*SIN(RADIANS('Background calcs'!$G430))+H$81</f>
        <v>-364.37886861451699</v>
      </c>
      <c r="I430" s="1"/>
      <c r="J430" s="1">
        <f>'Geometry Calculator'!J$11/2*SIN(RADIANS('Background calcs'!$G430))+J$81</f>
        <v>-364.27252288560243</v>
      </c>
      <c r="K430" s="1"/>
      <c r="L430" s="1">
        <f>'Geometry Calculator'!L$11/2*SIN(RADIANS('Background calcs'!$G430))+L$81</f>
        <v>-100371.2725228856</v>
      </c>
      <c r="M430" s="1"/>
      <c r="N430" s="1">
        <f>'Geometry Calculator'!N$11/2*SIN(RADIANS('Background calcs'!$G430))+N$81</f>
        <v>-100371.2725228856</v>
      </c>
      <c r="O430" s="1"/>
      <c r="P430" s="1">
        <f>'Geometry Calculator'!P$11/2*SIN(RADIANS('Background calcs'!$G430))+P$81</f>
        <v>-100357.48521434343</v>
      </c>
      <c r="Q430" s="1"/>
      <c r="R430" s="1">
        <f>'Geometry Calculator'!R$11/2*SIN(RADIANS('Background calcs'!$G430))+R$81</f>
        <v>-100357.31050350307</v>
      </c>
      <c r="S430" s="1"/>
      <c r="T430" s="1">
        <f>'Geometry Calculator'!T$11/2*SIN(RADIANS('Background calcs'!$G430))+T$81</f>
        <v>-100366.34848412054</v>
      </c>
      <c r="U430" s="1"/>
      <c r="V430" s="1">
        <f>'Geometry Calculator'!V$11/2*SIN(RADIANS('Background calcs'!$G430))+V$81</f>
        <v>-100366.34848412054</v>
      </c>
      <c r="W430" s="1"/>
      <c r="X430" s="1">
        <f>'Geometry Calculator'!X$11/2*SIN(RADIANS('Background calcs'!$G430))+X$81</f>
        <v>-100376.68896552717</v>
      </c>
      <c r="Y430" s="1"/>
      <c r="Z430" s="1">
        <f>'Geometry Calculator'!Z$11/2*SIN(RADIANS('Background calcs'!$G430))+Z$81</f>
        <v>-100376.68896552717</v>
      </c>
      <c r="AB430" s="159"/>
      <c r="AC430" s="1"/>
      <c r="AD430" s="1"/>
    </row>
    <row r="431" spans="6:30" x14ac:dyDescent="0.25">
      <c r="F431" t="s">
        <v>279</v>
      </c>
      <c r="G431">
        <v>265</v>
      </c>
      <c r="H431" s="1">
        <f>'Geometry Calculator'!H$11/2*SIN(RADIANS('Background calcs'!$G431))+H$81</f>
        <v>-368.59203829394585</v>
      </c>
      <c r="I431" s="1"/>
      <c r="J431" s="1">
        <f>'Geometry Calculator'!J$11/2*SIN(RADIANS('Background calcs'!$G431))+J$81</f>
        <v>-368.56540118058808</v>
      </c>
      <c r="K431" s="1"/>
      <c r="L431" s="1">
        <f>'Geometry Calculator'!L$11/2*SIN(RADIANS('Background calcs'!$G431))+L$81</f>
        <v>-100375.56540118059</v>
      </c>
      <c r="M431" s="1"/>
      <c r="N431" s="1">
        <f>'Geometry Calculator'!N$11/2*SIN(RADIANS('Background calcs'!$G431))+N$81</f>
        <v>-100375.56540118059</v>
      </c>
      <c r="O431" s="1"/>
      <c r="P431" s="1">
        <f>'Geometry Calculator'!P$11/2*SIN(RADIANS('Background calcs'!$G431))+P$81</f>
        <v>-100361.6186754073</v>
      </c>
      <c r="Q431" s="1"/>
      <c r="R431" s="1">
        <f>'Geometry Calculator'!R$11/2*SIN(RADIANS('Background calcs'!$G431))+R$81</f>
        <v>-100361.57491443536</v>
      </c>
      <c r="S431" s="1"/>
      <c r="T431" s="1">
        <f>'Geometry Calculator'!T$11/2*SIN(RADIANS('Background calcs'!$G431))+T$81</f>
        <v>-100370.58442769013</v>
      </c>
      <c r="U431" s="1"/>
      <c r="V431" s="1">
        <f>'Geometry Calculator'!V$11/2*SIN(RADIANS('Background calcs'!$G431))+V$81</f>
        <v>-100370.58442769013</v>
      </c>
      <c r="W431" s="1"/>
      <c r="X431" s="1">
        <f>'Geometry Calculator'!X$11/2*SIN(RADIANS('Background calcs'!$G431))+X$81</f>
        <v>-100381.04447202009</v>
      </c>
      <c r="Y431" s="1"/>
      <c r="Z431" s="1">
        <f>'Geometry Calculator'!Z$11/2*SIN(RADIANS('Background calcs'!$G431))+Z$81</f>
        <v>-100381.04447202009</v>
      </c>
      <c r="AB431" s="159"/>
      <c r="AC431" s="1"/>
      <c r="AD431" s="1"/>
    </row>
    <row r="432" spans="6:30" x14ac:dyDescent="0.25">
      <c r="F432" t="s">
        <v>169</v>
      </c>
      <c r="G432">
        <v>270</v>
      </c>
      <c r="H432" s="1">
        <f>'Geometry Calculator'!H$11/2*SIN(RADIANS('Background calcs'!$G432))+H$81</f>
        <v>-370</v>
      </c>
      <c r="I432" s="1"/>
      <c r="J432" s="1">
        <f>'Geometry Calculator'!J$11/2*SIN(RADIANS('Background calcs'!$G432))+J$81</f>
        <v>-370</v>
      </c>
      <c r="K432" s="1"/>
      <c r="L432" s="1">
        <f>'Geometry Calculator'!L$11/2*SIN(RADIANS('Background calcs'!$G432))+L$81</f>
        <v>-100377</v>
      </c>
      <c r="M432" s="1"/>
      <c r="N432" s="1">
        <f>'Geometry Calculator'!N$11/2*SIN(RADIANS('Background calcs'!$G432))+N$81</f>
        <v>-100377</v>
      </c>
      <c r="O432" s="1"/>
      <c r="P432" s="1">
        <f>'Geometry Calculator'!P$11/2*SIN(RADIANS('Background calcs'!$G432))+P$81</f>
        <v>-100363</v>
      </c>
      <c r="Q432" s="1"/>
      <c r="R432" s="1">
        <f>'Geometry Calculator'!R$11/2*SIN(RADIANS('Background calcs'!$G432))+R$81</f>
        <v>-100363</v>
      </c>
      <c r="S432" s="1"/>
      <c r="T432" s="1">
        <f>'Geometry Calculator'!T$11/2*SIN(RADIANS('Background calcs'!$G432))+T$81</f>
        <v>-100372</v>
      </c>
      <c r="U432" s="1"/>
      <c r="V432" s="1">
        <f>'Geometry Calculator'!V$11/2*SIN(RADIANS('Background calcs'!$G432))+V$81</f>
        <v>-100372</v>
      </c>
      <c r="W432" s="1"/>
      <c r="X432" s="1">
        <f>'Geometry Calculator'!X$11/2*SIN(RADIANS('Background calcs'!$G432))+X$81</f>
        <v>-100382.5</v>
      </c>
      <c r="Y432" s="1"/>
      <c r="Z432" s="1">
        <f>'Geometry Calculator'!Z$11/2*SIN(RADIANS('Background calcs'!$G432))+Z$81</f>
        <v>-100382.5</v>
      </c>
      <c r="AB432" s="159"/>
      <c r="AC432" s="1"/>
      <c r="AD432" s="1"/>
    </row>
    <row r="433" spans="6:30" x14ac:dyDescent="0.25">
      <c r="F433" t="s">
        <v>280</v>
      </c>
      <c r="G433">
        <v>275</v>
      </c>
      <c r="H433" s="1">
        <f>'Geometry Calculator'!H$11/2*SIN(RADIANS('Background calcs'!$G433))+H$81</f>
        <v>-368.59203829394585</v>
      </c>
      <c r="I433" s="1"/>
      <c r="J433" s="1">
        <f>'Geometry Calculator'!J$11/2*SIN(RADIANS('Background calcs'!$G433))+J$81</f>
        <v>-368.56540118058808</v>
      </c>
      <c r="K433" s="1"/>
      <c r="L433" s="1">
        <f>'Geometry Calculator'!L$11/2*SIN(RADIANS('Background calcs'!$G433))+L$81</f>
        <v>-100375.56540118059</v>
      </c>
      <c r="M433" s="1"/>
      <c r="N433" s="1">
        <f>'Geometry Calculator'!N$11/2*SIN(RADIANS('Background calcs'!$G433))+N$81</f>
        <v>-100375.56540118059</v>
      </c>
      <c r="O433" s="1"/>
      <c r="P433" s="1">
        <f>'Geometry Calculator'!P$11/2*SIN(RADIANS('Background calcs'!$G433))+P$81</f>
        <v>-100361.6186754073</v>
      </c>
      <c r="Q433" s="1"/>
      <c r="R433" s="1">
        <f>'Geometry Calculator'!R$11/2*SIN(RADIANS('Background calcs'!$G433))+R$81</f>
        <v>-100361.57491443536</v>
      </c>
      <c r="S433" s="1"/>
      <c r="T433" s="1">
        <f>'Geometry Calculator'!T$11/2*SIN(RADIANS('Background calcs'!$G433))+T$81</f>
        <v>-100370.58442769013</v>
      </c>
      <c r="U433" s="1"/>
      <c r="V433" s="1">
        <f>'Geometry Calculator'!V$11/2*SIN(RADIANS('Background calcs'!$G433))+V$81</f>
        <v>-100370.58442769013</v>
      </c>
      <c r="W433" s="1"/>
      <c r="X433" s="1">
        <f>'Geometry Calculator'!X$11/2*SIN(RADIANS('Background calcs'!$G433))+X$81</f>
        <v>-100381.04447202009</v>
      </c>
      <c r="Y433" s="1"/>
      <c r="Z433" s="1">
        <f>'Geometry Calculator'!Z$11/2*SIN(RADIANS('Background calcs'!$G433))+Z$81</f>
        <v>-100381.04447202009</v>
      </c>
      <c r="AB433" s="159"/>
      <c r="AC433" s="1"/>
      <c r="AD433" s="1"/>
    </row>
    <row r="434" spans="6:30" x14ac:dyDescent="0.25">
      <c r="F434" t="s">
        <v>281</v>
      </c>
      <c r="G434">
        <v>280</v>
      </c>
      <c r="H434" s="1">
        <f>'Geometry Calculator'!H$11/2*SIN(RADIANS('Background calcs'!$G434))+H$81</f>
        <v>-364.37886861451699</v>
      </c>
      <c r="I434" s="1"/>
      <c r="J434" s="1">
        <f>'Geometry Calculator'!J$11/2*SIN(RADIANS('Background calcs'!$G434))+J$81</f>
        <v>-364.27252288560248</v>
      </c>
      <c r="K434" s="1"/>
      <c r="L434" s="1">
        <f>'Geometry Calculator'!L$11/2*SIN(RADIANS('Background calcs'!$G434))+L$81</f>
        <v>-100371.2725228856</v>
      </c>
      <c r="M434" s="1"/>
      <c r="N434" s="1">
        <f>'Geometry Calculator'!N$11/2*SIN(RADIANS('Background calcs'!$G434))+N$81</f>
        <v>-100371.2725228856</v>
      </c>
      <c r="O434" s="1"/>
      <c r="P434" s="1">
        <f>'Geometry Calculator'!P$11/2*SIN(RADIANS('Background calcs'!$G434))+P$81</f>
        <v>-100357.48521434343</v>
      </c>
      <c r="Q434" s="1"/>
      <c r="R434" s="1">
        <f>'Geometry Calculator'!R$11/2*SIN(RADIANS('Background calcs'!$G434))+R$81</f>
        <v>-100357.31050350307</v>
      </c>
      <c r="S434" s="1"/>
      <c r="T434" s="1">
        <f>'Geometry Calculator'!T$11/2*SIN(RADIANS('Background calcs'!$G434))+T$81</f>
        <v>-100366.34848412054</v>
      </c>
      <c r="U434" s="1"/>
      <c r="V434" s="1">
        <f>'Geometry Calculator'!V$11/2*SIN(RADIANS('Background calcs'!$G434))+V$81</f>
        <v>-100366.34848412054</v>
      </c>
      <c r="W434" s="1"/>
      <c r="X434" s="1">
        <f>'Geometry Calculator'!X$11/2*SIN(RADIANS('Background calcs'!$G434))+X$81</f>
        <v>-100376.68896552717</v>
      </c>
      <c r="Y434" s="1"/>
      <c r="Z434" s="1">
        <f>'Geometry Calculator'!Z$11/2*SIN(RADIANS('Background calcs'!$G434))+Z$81</f>
        <v>-100376.68896552717</v>
      </c>
      <c r="AB434" s="159"/>
      <c r="AC434" s="1"/>
      <c r="AD434" s="1"/>
    </row>
    <row r="435" spans="6:30" x14ac:dyDescent="0.25">
      <c r="F435" t="s">
        <v>170</v>
      </c>
      <c r="G435">
        <v>285</v>
      </c>
      <c r="H435" s="1">
        <f>'Geometry Calculator'!H$11/2*SIN(RADIANS('Background calcs'!$G435))+H$81</f>
        <v>-357.39255572695532</v>
      </c>
      <c r="I435" s="1"/>
      <c r="J435" s="1">
        <f>'Geometry Calculator'!J$11/2*SIN(RADIANS('Background calcs'!$G435))+J$81</f>
        <v>-357.15403651097881</v>
      </c>
      <c r="K435" s="1"/>
      <c r="L435" s="1">
        <f>'Geometry Calculator'!L$11/2*SIN(RADIANS('Background calcs'!$G435))+L$81</f>
        <v>-100364.15403651098</v>
      </c>
      <c r="M435" s="1"/>
      <c r="N435" s="1">
        <f>'Geometry Calculator'!N$11/2*SIN(RADIANS('Background calcs'!$G435))+N$81</f>
        <v>-100364.15403651098</v>
      </c>
      <c r="O435" s="1"/>
      <c r="P435" s="1">
        <f>'Geometry Calculator'!P$11/2*SIN(RADIANS('Background calcs'!$G435))+P$81</f>
        <v>-100350.63107494292</v>
      </c>
      <c r="Q435" s="1"/>
      <c r="R435" s="1">
        <f>'Geometry Calculator'!R$11/2*SIN(RADIANS('Background calcs'!$G435))+R$81</f>
        <v>-100350.23922194526</v>
      </c>
      <c r="S435" s="1"/>
      <c r="T435" s="1">
        <f>'Geometry Calculator'!T$11/2*SIN(RADIANS('Background calcs'!$G435))+T$81</f>
        <v>-100359.32440737954</v>
      </c>
      <c r="U435" s="1"/>
      <c r="V435" s="1">
        <f>'Geometry Calculator'!V$11/2*SIN(RADIANS('Background calcs'!$G435))+V$81</f>
        <v>-100359.32440737954</v>
      </c>
      <c r="W435" s="1"/>
      <c r="X435" s="1">
        <f>'Geometry Calculator'!X$11/2*SIN(RADIANS('Background calcs'!$G435))+X$81</f>
        <v>-100369.46662855557</v>
      </c>
      <c r="Y435" s="1"/>
      <c r="Z435" s="1">
        <f>'Geometry Calculator'!Z$11/2*SIN(RADIANS('Background calcs'!$G435))+Z$81</f>
        <v>-100369.46662855557</v>
      </c>
      <c r="AB435" s="159"/>
      <c r="AC435" s="1"/>
      <c r="AD435" s="1"/>
    </row>
    <row r="436" spans="6:30" x14ac:dyDescent="0.25">
      <c r="F436" t="s">
        <v>282</v>
      </c>
      <c r="G436">
        <v>290</v>
      </c>
      <c r="H436" s="1">
        <f>'Geometry Calculator'!H$11/2*SIN(RADIANS('Background calcs'!$G436))+H$81</f>
        <v>-347.68626969078611</v>
      </c>
      <c r="I436" s="1"/>
      <c r="J436" s="1">
        <f>'Geometry Calculator'!J$11/2*SIN(RADIANS('Background calcs'!$G436))+J$81</f>
        <v>-347.26411803628741</v>
      </c>
      <c r="K436" s="1"/>
      <c r="L436" s="1">
        <f>'Geometry Calculator'!L$11/2*SIN(RADIANS('Background calcs'!$G436))+L$81</f>
        <v>-100354.26411803628</v>
      </c>
      <c r="M436" s="1"/>
      <c r="N436" s="1">
        <f>'Geometry Calculator'!N$11/2*SIN(RADIANS('Background calcs'!$G436))+N$81</f>
        <v>-100354.26411803628</v>
      </c>
      <c r="O436" s="1"/>
      <c r="P436" s="1">
        <f>'Geometry Calculator'!P$11/2*SIN(RADIANS('Background calcs'!$G436))+P$81</f>
        <v>-100341.10842134529</v>
      </c>
      <c r="Q436" s="1"/>
      <c r="R436" s="1">
        <f>'Geometry Calculator'!R$11/2*SIN(RADIANS('Background calcs'!$G436))+R$81</f>
        <v>-100340.41488648432</v>
      </c>
      <c r="S436" s="1"/>
      <c r="T436" s="1">
        <f>'Geometry Calculator'!T$11/2*SIN(RADIANS('Background calcs'!$G436))+T$81</f>
        <v>-100349.56565493236</v>
      </c>
      <c r="U436" s="1"/>
      <c r="V436" s="1">
        <f>'Geometry Calculator'!V$11/2*SIN(RADIANS('Background calcs'!$G436))+V$81</f>
        <v>-100349.56565493236</v>
      </c>
      <c r="W436" s="1"/>
      <c r="X436" s="1">
        <f>'Geometry Calculator'!X$11/2*SIN(RADIANS('Background calcs'!$G436))+X$81</f>
        <v>-100359.43242745061</v>
      </c>
      <c r="Y436" s="1"/>
      <c r="Z436" s="1">
        <f>'Geometry Calculator'!Z$11/2*SIN(RADIANS('Background calcs'!$G436))+Z$81</f>
        <v>-100359.43242745061</v>
      </c>
      <c r="AB436" s="159"/>
      <c r="AC436" s="1"/>
      <c r="AD436" s="1"/>
    </row>
    <row r="437" spans="6:30" x14ac:dyDescent="0.25">
      <c r="F437" t="s">
        <v>283</v>
      </c>
      <c r="G437">
        <v>295</v>
      </c>
      <c r="H437" s="1">
        <f>'Geometry Calculator'!H$11/2*SIN(RADIANS('Background calcs'!$G437))+H$81</f>
        <v>-335.33388120356045</v>
      </c>
      <c r="I437" s="1"/>
      <c r="J437" s="1">
        <f>'Geometry Calculator'!J$11/2*SIN(RADIANS('Background calcs'!$G437))+J$81</f>
        <v>-334.67803571281701</v>
      </c>
      <c r="K437" s="1"/>
      <c r="L437" s="1">
        <f>'Geometry Calculator'!L$11/2*SIN(RADIANS('Background calcs'!$G437))+L$81</f>
        <v>-100341.67803571282</v>
      </c>
      <c r="M437" s="1"/>
      <c r="N437" s="1">
        <f>'Geometry Calculator'!N$11/2*SIN(RADIANS('Background calcs'!$G437))+N$81</f>
        <v>-100341.67803571282</v>
      </c>
      <c r="O437" s="1"/>
      <c r="P437" s="1">
        <f>'Geometry Calculator'!P$11/2*SIN(RADIANS('Background calcs'!$G437))+P$81</f>
        <v>-100328.9897266943</v>
      </c>
      <c r="Q437" s="1"/>
      <c r="R437" s="1">
        <f>'Geometry Calculator'!R$11/2*SIN(RADIANS('Background calcs'!$G437))+R$81</f>
        <v>-100327.91226624523</v>
      </c>
      <c r="S437" s="1"/>
      <c r="T437" s="1">
        <f>'Geometry Calculator'!T$11/2*SIN(RADIANS('Background calcs'!$G437))+T$81</f>
        <v>-100337.14649677764</v>
      </c>
      <c r="U437" s="1"/>
      <c r="V437" s="1">
        <f>'Geometry Calculator'!V$11/2*SIN(RADIANS('Background calcs'!$G437))+V$81</f>
        <v>-100337.14649677764</v>
      </c>
      <c r="W437" s="1"/>
      <c r="X437" s="1">
        <f>'Geometry Calculator'!X$11/2*SIN(RADIANS('Background calcs'!$G437))+X$81</f>
        <v>-100346.66272854152</v>
      </c>
      <c r="Y437" s="1"/>
      <c r="Z437" s="1">
        <f>'Geometry Calculator'!Z$11/2*SIN(RADIANS('Background calcs'!$G437))+Z$81</f>
        <v>-100346.66272854152</v>
      </c>
      <c r="AB437" s="159"/>
      <c r="AC437" s="1"/>
      <c r="AD437" s="1"/>
    </row>
    <row r="438" spans="6:30" x14ac:dyDescent="0.25">
      <c r="F438" t="s">
        <v>171</v>
      </c>
      <c r="G438">
        <v>300</v>
      </c>
      <c r="H438" s="1">
        <f>'Geometry Calculator'!H$11/2*SIN(RADIANS('Background calcs'!$G438))+H$81</f>
        <v>-320.42939940024229</v>
      </c>
      <c r="I438" s="1"/>
      <c r="J438" s="1">
        <f>'Geometry Calculator'!J$11/2*SIN(RADIANS('Background calcs'!$G438))+J$81</f>
        <v>-319.49157722673334</v>
      </c>
      <c r="K438" s="1"/>
      <c r="L438" s="1">
        <f>'Geometry Calculator'!L$11/2*SIN(RADIANS('Background calcs'!$G438))+L$81</f>
        <v>-100326.49157722673</v>
      </c>
      <c r="M438" s="1"/>
      <c r="N438" s="1">
        <f>'Geometry Calculator'!N$11/2*SIN(RADIANS('Background calcs'!$G438))+N$81</f>
        <v>-100326.49157722673</v>
      </c>
      <c r="O438" s="1"/>
      <c r="P438" s="1">
        <f>'Geometry Calculator'!P$11/2*SIN(RADIANS('Background calcs'!$G438))+P$81</f>
        <v>-100314.36722157375</v>
      </c>
      <c r="Q438" s="1"/>
      <c r="R438" s="1">
        <f>'Geometry Calculator'!R$11/2*SIN(RADIANS('Background calcs'!$G438))+R$81</f>
        <v>-100312.82651371727</v>
      </c>
      <c r="S438" s="1"/>
      <c r="T438" s="1">
        <f>'Geometry Calculator'!T$11/2*SIN(RADIANS('Background calcs'!$G438))+T$81</f>
        <v>-100322.16145020782</v>
      </c>
      <c r="U438" s="1"/>
      <c r="V438" s="1">
        <f>'Geometry Calculator'!V$11/2*SIN(RADIANS('Background calcs'!$G438))+V$81</f>
        <v>-100322.16145020782</v>
      </c>
      <c r="W438" s="1"/>
      <c r="X438" s="1">
        <f>'Geometry Calculator'!X$11/2*SIN(RADIANS('Background calcs'!$G438))+X$81</f>
        <v>-100331.25471694754</v>
      </c>
      <c r="Y438" s="1"/>
      <c r="Z438" s="1">
        <f>'Geometry Calculator'!Z$11/2*SIN(RADIANS('Background calcs'!$G438))+Z$81</f>
        <v>-100331.25471694754</v>
      </c>
      <c r="AB438" s="159"/>
      <c r="AC438" s="1"/>
      <c r="AD438" s="1"/>
    </row>
    <row r="439" spans="6:30" x14ac:dyDescent="0.25">
      <c r="F439" t="s">
        <v>284</v>
      </c>
      <c r="G439">
        <v>305</v>
      </c>
      <c r="H439" s="1">
        <f>'Geometry Calculator'!H$11/2*SIN(RADIANS('Background calcs'!$G439))+H$81</f>
        <v>-303.08625638692695</v>
      </c>
      <c r="I439" s="1"/>
      <c r="J439" s="1">
        <f>'Geometry Calculator'!J$11/2*SIN(RADIANS('Background calcs'!$G439))+J$81</f>
        <v>-301.82032069694992</v>
      </c>
      <c r="K439" s="1"/>
      <c r="L439" s="1">
        <f>'Geometry Calculator'!L$11/2*SIN(RADIANS('Background calcs'!$G439))+L$81</f>
        <v>-100308.82032069695</v>
      </c>
      <c r="M439" s="1"/>
      <c r="N439" s="1">
        <f>'Geometry Calculator'!N$11/2*SIN(RADIANS('Background calcs'!$G439))+N$81</f>
        <v>-100308.82032069695</v>
      </c>
      <c r="O439" s="1"/>
      <c r="P439" s="1">
        <f>'Geometry Calculator'!P$11/2*SIN(RADIANS('Background calcs'!$G439))+P$81</f>
        <v>-100297.3521920769</v>
      </c>
      <c r="Q439" s="1"/>
      <c r="R439" s="1">
        <f>'Geometry Calculator'!R$11/2*SIN(RADIANS('Background calcs'!$G439))+R$81</f>
        <v>-100295.27244058622</v>
      </c>
      <c r="S439" s="1"/>
      <c r="T439" s="1">
        <f>'Geometry Calculator'!T$11/2*SIN(RADIANS('Background calcs'!$G439))+T$81</f>
        <v>-100304.7245604755</v>
      </c>
      <c r="U439" s="1"/>
      <c r="V439" s="1">
        <f>'Geometry Calculator'!V$11/2*SIN(RADIANS('Background calcs'!$G439))+V$81</f>
        <v>-100304.7245604755</v>
      </c>
      <c r="W439" s="1"/>
      <c r="X439" s="1">
        <f>'Geometry Calculator'!X$11/2*SIN(RADIANS('Background calcs'!$G439))+X$81</f>
        <v>-100313.32565694053</v>
      </c>
      <c r="Y439" s="1"/>
      <c r="Z439" s="1">
        <f>'Geometry Calculator'!Z$11/2*SIN(RADIANS('Background calcs'!$G439))+Z$81</f>
        <v>-100313.32565694053</v>
      </c>
      <c r="AB439" s="159"/>
      <c r="AC439" s="1"/>
      <c r="AD439" s="1"/>
    </row>
    <row r="440" spans="6:30" x14ac:dyDescent="0.25">
      <c r="F440" t="s">
        <v>285</v>
      </c>
      <c r="G440">
        <v>310</v>
      </c>
      <c r="H440" s="1">
        <f>'Geometry Calculator'!H$11/2*SIN(RADIANS('Background calcs'!$G440))+H$81</f>
        <v>-283.43644395402191</v>
      </c>
      <c r="I440" s="1"/>
      <c r="J440" s="1">
        <f>'Geometry Calculator'!J$11/2*SIN(RADIANS('Background calcs'!$G440))+J$81</f>
        <v>-281.79875505585477</v>
      </c>
      <c r="K440" s="1"/>
      <c r="L440" s="1">
        <f>'Geometry Calculator'!L$11/2*SIN(RADIANS('Background calcs'!$G440))+L$81</f>
        <v>-100288.79875505586</v>
      </c>
      <c r="M440" s="1"/>
      <c r="N440" s="1">
        <f>'Geometry Calculator'!N$11/2*SIN(RADIANS('Background calcs'!$G440))+N$81</f>
        <v>-100288.79875505586</v>
      </c>
      <c r="O440" s="1"/>
      <c r="P440" s="1">
        <f>'Geometry Calculator'!P$11/2*SIN(RADIANS('Background calcs'!$G440))+P$81</f>
        <v>-100278.07413285218</v>
      </c>
      <c r="Q440" s="1"/>
      <c r="R440" s="1">
        <f>'Geometry Calculator'!R$11/2*SIN(RADIANS('Background calcs'!$G440))+R$81</f>
        <v>-100275.38364394805</v>
      </c>
      <c r="S440" s="1"/>
      <c r="T440" s="1">
        <f>'Geometry Calculator'!T$11/2*SIN(RADIANS('Background calcs'!$G440))+T$81</f>
        <v>-100284.96853284026</v>
      </c>
      <c r="U440" s="1"/>
      <c r="V440" s="1">
        <f>'Geometry Calculator'!V$11/2*SIN(RADIANS('Background calcs'!$G440))+V$81</f>
        <v>-100284.96853284026</v>
      </c>
      <c r="W440" s="1"/>
      <c r="X440" s="1">
        <f>'Geometry Calculator'!X$11/2*SIN(RADIANS('Background calcs'!$G440))+X$81</f>
        <v>-100293.01199949301</v>
      </c>
      <c r="Y440" s="1"/>
      <c r="Z440" s="1">
        <f>'Geometry Calculator'!Z$11/2*SIN(RADIANS('Background calcs'!$G440))+Z$81</f>
        <v>-100293.01199949301</v>
      </c>
      <c r="AB440" s="159"/>
      <c r="AC440" s="1"/>
      <c r="AD440" s="1"/>
    </row>
    <row r="441" spans="6:30" x14ac:dyDescent="0.25">
      <c r="F441" t="s">
        <v>172</v>
      </c>
      <c r="G441">
        <v>315</v>
      </c>
      <c r="H441" s="1">
        <f>'Geometry Calculator'!H$11/2*SIN(RADIANS('Background calcs'!$G441))+H$81</f>
        <v>-261.62950903902265</v>
      </c>
      <c r="I441" s="1"/>
      <c r="J441" s="1">
        <f>'Geometry Calculator'!J$11/2*SIN(RADIANS('Background calcs'!$G441))+J$81</f>
        <v>-259.57925650732847</v>
      </c>
      <c r="K441" s="1"/>
      <c r="L441" s="1">
        <f>'Geometry Calculator'!L$11/2*SIN(RADIANS('Background calcs'!$G441))+L$81</f>
        <v>-100266.57925650734</v>
      </c>
      <c r="M441" s="1"/>
      <c r="N441" s="1">
        <f>'Geometry Calculator'!N$11/2*SIN(RADIANS('Background calcs'!$G441))+N$81</f>
        <v>-100266.57925650734</v>
      </c>
      <c r="O441" s="1"/>
      <c r="P441" s="1">
        <f>'Geometry Calculator'!P$11/2*SIN(RADIANS('Background calcs'!$G441))+P$81</f>
        <v>-100256.67976157072</v>
      </c>
      <c r="Q441" s="1"/>
      <c r="R441" s="1">
        <f>'Geometry Calculator'!R$11/2*SIN(RADIANS('Background calcs'!$G441))+R$81</f>
        <v>-100253.31148955435</v>
      </c>
      <c r="S441" s="1"/>
      <c r="T441" s="1">
        <f>'Geometry Calculator'!T$11/2*SIN(RADIANS('Background calcs'!$G441))+T$81</f>
        <v>-100263.04372260139</v>
      </c>
      <c r="U441" s="1"/>
      <c r="V441" s="1">
        <f>'Geometry Calculator'!V$11/2*SIN(RADIANS('Background calcs'!$G441))+V$81</f>
        <v>-100263.04372260139</v>
      </c>
      <c r="W441" s="1"/>
      <c r="X441" s="1">
        <f>'Geometry Calculator'!X$11/2*SIN(RADIANS('Background calcs'!$G441))+X$81</f>
        <v>-100270.46834380385</v>
      </c>
      <c r="Y441" s="1"/>
      <c r="Z441" s="1">
        <f>'Geometry Calculator'!Z$11/2*SIN(RADIANS('Background calcs'!$G441))+Z$81</f>
        <v>-100270.46834380385</v>
      </c>
      <c r="AB441" s="159"/>
      <c r="AC441" s="1"/>
      <c r="AD441" s="1"/>
    </row>
    <row r="442" spans="6:30" x14ac:dyDescent="0.25">
      <c r="F442" t="s">
        <v>286</v>
      </c>
      <c r="G442">
        <v>320</v>
      </c>
      <c r="H442" s="1">
        <f>'Geometry Calculator'!H$11/2*SIN(RADIANS('Background calcs'!$G442))+H$81</f>
        <v>-237.83141558401965</v>
      </c>
      <c r="I442" s="1"/>
      <c r="J442" s="1">
        <f>'Geometry Calculator'!J$11/2*SIN(RADIANS('Background calcs'!$G442))+J$81</f>
        <v>-235.33092885182543</v>
      </c>
      <c r="K442" s="1"/>
      <c r="L442" s="1">
        <f>'Geometry Calculator'!L$11/2*SIN(RADIANS('Background calcs'!$G442))+L$81</f>
        <v>-100242.33092885182</v>
      </c>
      <c r="M442" s="1"/>
      <c r="N442" s="1">
        <f>'Geometry Calculator'!N$11/2*SIN(RADIANS('Background calcs'!$G442))+N$81</f>
        <v>-100242.33092885182</v>
      </c>
      <c r="O442" s="1"/>
      <c r="P442" s="1">
        <f>'Geometry Calculator'!P$11/2*SIN(RADIANS('Background calcs'!$G442))+P$81</f>
        <v>-100233.33190231622</v>
      </c>
      <c r="Q442" s="1"/>
      <c r="R442" s="1">
        <f>'Geometry Calculator'!R$11/2*SIN(RADIANS('Background calcs'!$G442))+R$81</f>
        <v>-100229.22395982761</v>
      </c>
      <c r="S442" s="1"/>
      <c r="T442" s="1">
        <f>'Geometry Calculator'!T$11/2*SIN(RADIANS('Background calcs'!$G442))+T$81</f>
        <v>-100239.11699080339</v>
      </c>
      <c r="U442" s="1"/>
      <c r="V442" s="1">
        <f>'Geometry Calculator'!V$11/2*SIN(RADIANS('Background calcs'!$G442))+V$81</f>
        <v>-100239.11699080339</v>
      </c>
      <c r="W442" s="1"/>
      <c r="X442" s="1">
        <f>'Geometry Calculator'!X$11/2*SIN(RADIANS('Background calcs'!$G442))+X$81</f>
        <v>-100245.86626070511</v>
      </c>
      <c r="Y442" s="1"/>
      <c r="Z442" s="1">
        <f>'Geometry Calculator'!Z$11/2*SIN(RADIANS('Background calcs'!$G442))+Z$81</f>
        <v>-100245.86626070511</v>
      </c>
      <c r="AB442" s="159"/>
      <c r="AC442" s="1"/>
      <c r="AD442" s="1"/>
    </row>
    <row r="443" spans="6:30" x14ac:dyDescent="0.25">
      <c r="F443" t="s">
        <v>287</v>
      </c>
      <c r="G443">
        <v>325</v>
      </c>
      <c r="H443" s="1">
        <f>'Geometry Calculator'!H$11/2*SIN(RADIANS('Background calcs'!$G443))+H$81</f>
        <v>-212.2232814498872</v>
      </c>
      <c r="I443" s="1"/>
      <c r="J443" s="1">
        <f>'Geometry Calculator'!J$11/2*SIN(RADIANS('Background calcs'!$G443))+J$81</f>
        <v>-209.23831650434454</v>
      </c>
      <c r="K443" s="1"/>
      <c r="L443" s="1">
        <f>'Geometry Calculator'!L$11/2*SIN(RADIANS('Background calcs'!$G443))+L$81</f>
        <v>-100216.23831650434</v>
      </c>
      <c r="M443" s="1"/>
      <c r="N443" s="1">
        <f>'Geometry Calculator'!N$11/2*SIN(RADIANS('Background calcs'!$G443))+N$81</f>
        <v>-100216.23831650434</v>
      </c>
      <c r="O443" s="1"/>
      <c r="P443" s="1">
        <f>'Geometry Calculator'!P$11/2*SIN(RADIANS('Background calcs'!$G443))+P$81</f>
        <v>-100208.20824639543</v>
      </c>
      <c r="Q443" s="1"/>
      <c r="R443" s="1">
        <f>'Geometry Calculator'!R$11/2*SIN(RADIANS('Background calcs'!$G443))+R$81</f>
        <v>-100203.30437541347</v>
      </c>
      <c r="S443" s="1"/>
      <c r="T443" s="1">
        <f>'Geometry Calculator'!T$11/2*SIN(RADIANS('Background calcs'!$G443))+T$81</f>
        <v>-100213.37043432258</v>
      </c>
      <c r="U443" s="1"/>
      <c r="V443" s="1">
        <f>'Geometry Calculator'!V$11/2*SIN(RADIANS('Background calcs'!$G443))+V$81</f>
        <v>-100213.37043432258</v>
      </c>
      <c r="W443" s="1"/>
      <c r="X443" s="1">
        <f>'Geometry Calculator'!X$11/2*SIN(RADIANS('Background calcs'!$G443))+X$81</f>
        <v>-100219.39298690428</v>
      </c>
      <c r="Y443" s="1"/>
      <c r="Z443" s="1">
        <f>'Geometry Calculator'!Z$11/2*SIN(RADIANS('Background calcs'!$G443))+Z$81</f>
        <v>-100219.39298690428</v>
      </c>
      <c r="AB443" s="159"/>
      <c r="AC443" s="1"/>
      <c r="AD443" s="1"/>
    </row>
    <row r="444" spans="6:30" x14ac:dyDescent="0.25">
      <c r="F444" t="s">
        <v>173</v>
      </c>
      <c r="G444">
        <v>330</v>
      </c>
      <c r="H444" s="1">
        <f>'Geometry Calculator'!H$11/2*SIN(RADIANS('Background calcs'!$G444))+H$81</f>
        <v>-185.00000000000017</v>
      </c>
      <c r="I444" s="1"/>
      <c r="J444" s="1">
        <f>'Geometry Calculator'!J$11/2*SIN(RADIANS('Background calcs'!$G444))+J$81</f>
        <v>-181.50000000000017</v>
      </c>
      <c r="K444" s="1"/>
      <c r="L444" s="1">
        <f>'Geometry Calculator'!L$11/2*SIN(RADIANS('Background calcs'!$G444))+L$81</f>
        <v>-100188.5</v>
      </c>
      <c r="M444" s="1"/>
      <c r="N444" s="1">
        <f>'Geometry Calculator'!N$11/2*SIN(RADIANS('Background calcs'!$G444))+N$81</f>
        <v>-100188.5</v>
      </c>
      <c r="O444" s="1"/>
      <c r="P444" s="1">
        <f>'Geometry Calculator'!P$11/2*SIN(RADIANS('Background calcs'!$G444))+P$81</f>
        <v>-100181.5</v>
      </c>
      <c r="Q444" s="1"/>
      <c r="R444" s="1">
        <f>'Geometry Calculator'!R$11/2*SIN(RADIANS('Background calcs'!$G444))+R$81</f>
        <v>-100175.75</v>
      </c>
      <c r="S444" s="1"/>
      <c r="T444" s="1">
        <f>'Geometry Calculator'!T$11/2*SIN(RADIANS('Background calcs'!$G444))+T$81</f>
        <v>-100186</v>
      </c>
      <c r="U444" s="1"/>
      <c r="V444" s="1">
        <f>'Geometry Calculator'!V$11/2*SIN(RADIANS('Background calcs'!$G444))+V$81</f>
        <v>-100186</v>
      </c>
      <c r="W444" s="1"/>
      <c r="X444" s="1">
        <f>'Geometry Calculator'!X$11/2*SIN(RADIANS('Background calcs'!$G444))+X$81</f>
        <v>-100191.25</v>
      </c>
      <c r="Y444" s="1"/>
      <c r="Z444" s="1">
        <f>'Geometry Calculator'!Z$11/2*SIN(RADIANS('Background calcs'!$G444))+Z$81</f>
        <v>-100191.25</v>
      </c>
      <c r="AB444" s="159"/>
      <c r="AC444" s="1"/>
      <c r="AD444" s="1"/>
    </row>
    <row r="445" spans="6:30" x14ac:dyDescent="0.25">
      <c r="F445" t="s">
        <v>288</v>
      </c>
      <c r="G445">
        <v>335</v>
      </c>
      <c r="H445" s="1">
        <f>'Geometry Calculator'!H$11/2*SIN(RADIANS('Background calcs'!$G445))+H$81</f>
        <v>-156.36875684405871</v>
      </c>
      <c r="I445" s="1"/>
      <c r="J445" s="1">
        <f>'Geometry Calculator'!J$11/2*SIN(RADIANS('Background calcs'!$G445))+J$81</f>
        <v>-152.3270846762436</v>
      </c>
      <c r="K445" s="1"/>
      <c r="L445" s="1">
        <f>'Geometry Calculator'!L$11/2*SIN(RADIANS('Background calcs'!$G445))+L$81</f>
        <v>-100159.32708467625</v>
      </c>
      <c r="M445" s="1"/>
      <c r="N445" s="1">
        <f>'Geometry Calculator'!N$11/2*SIN(RADIANS('Background calcs'!$G445))+N$81</f>
        <v>-100159.32708467625</v>
      </c>
      <c r="O445" s="1"/>
      <c r="P445" s="1">
        <f>'Geometry Calculator'!P$11/2*SIN(RADIANS('Background calcs'!$G445))+P$81</f>
        <v>-100153.41042901187</v>
      </c>
      <c r="Q445" s="1"/>
      <c r="R445" s="1">
        <f>'Geometry Calculator'!R$11/2*SIN(RADIANS('Background calcs'!$G445))+R$81</f>
        <v>-100146.77053902189</v>
      </c>
      <c r="S445" s="1"/>
      <c r="T445" s="1">
        <f>'Geometry Calculator'!T$11/2*SIN(RADIANS('Background calcs'!$G445))+T$81</f>
        <v>-100157.21399336754</v>
      </c>
      <c r="U445" s="1"/>
      <c r="V445" s="1">
        <f>'Geometry Calculator'!V$11/2*SIN(RADIANS('Background calcs'!$G445))+V$81</f>
        <v>-100157.21399336754</v>
      </c>
      <c r="W445" s="1"/>
      <c r="X445" s="1">
        <f>'Geometry Calculator'!X$11/2*SIN(RADIANS('Background calcs'!$G445))+X$81</f>
        <v>-100161.65148511581</v>
      </c>
      <c r="Y445" s="1"/>
      <c r="Z445" s="1">
        <f>'Geometry Calculator'!Z$11/2*SIN(RADIANS('Background calcs'!$G445))+Z$81</f>
        <v>-100161.65148511581</v>
      </c>
      <c r="AB445" s="159"/>
      <c r="AC445" s="1"/>
      <c r="AD445" s="1"/>
    </row>
    <row r="446" spans="6:30" x14ac:dyDescent="0.25">
      <c r="F446" t="s">
        <v>289</v>
      </c>
      <c r="G446">
        <v>340</v>
      </c>
      <c r="H446" s="1">
        <f>'Geometry Calculator'!H$11/2*SIN(RADIANS('Background calcs'!$G446))+H$81</f>
        <v>-126.54745303049738</v>
      </c>
      <c r="I446" s="1"/>
      <c r="J446" s="1">
        <f>'Geometry Calculator'!J$11/2*SIN(RADIANS('Background calcs'!$G446))+J$81</f>
        <v>-121.94159403377705</v>
      </c>
      <c r="K446" s="1"/>
      <c r="L446" s="1">
        <f>'Geometry Calculator'!L$11/2*SIN(RADIANS('Background calcs'!$G446))+L$81</f>
        <v>-100128.94159403378</v>
      </c>
      <c r="M446" s="1"/>
      <c r="N446" s="1">
        <f>'Geometry Calculator'!N$11/2*SIN(RADIANS('Background calcs'!$G446))+N$81</f>
        <v>-100128.94159403378</v>
      </c>
      <c r="O446" s="1"/>
      <c r="P446" s="1">
        <f>'Geometry Calculator'!P$11/2*SIN(RADIANS('Background calcs'!$G446))+P$81</f>
        <v>-100124.15331202722</v>
      </c>
      <c r="Q446" s="1"/>
      <c r="R446" s="1">
        <f>'Geometry Calculator'!R$11/2*SIN(RADIANS('Background calcs'!$G446))+R$81</f>
        <v>-100116.58654367547</v>
      </c>
      <c r="S446" s="1"/>
      <c r="T446" s="1">
        <f>'Geometry Calculator'!T$11/2*SIN(RADIANS('Background calcs'!$G446))+T$81</f>
        <v>-100127.23149331714</v>
      </c>
      <c r="U446" s="1"/>
      <c r="V446" s="1">
        <f>'Geometry Calculator'!V$11/2*SIN(RADIANS('Background calcs'!$G446))+V$81</f>
        <v>-100127.23149331714</v>
      </c>
      <c r="W446" s="1"/>
      <c r="X446" s="1">
        <f>'Geometry Calculator'!X$11/2*SIN(RADIANS('Background calcs'!$G446))+X$81</f>
        <v>-100130.82270482207</v>
      </c>
      <c r="Y446" s="1"/>
      <c r="Z446" s="1">
        <f>'Geometry Calculator'!Z$11/2*SIN(RADIANS('Background calcs'!$G446))+Z$81</f>
        <v>-100130.82270482207</v>
      </c>
      <c r="AB446" s="159"/>
      <c r="AC446" s="1"/>
      <c r="AD446" s="1"/>
    </row>
    <row r="447" spans="6:30" x14ac:dyDescent="0.25">
      <c r="F447" t="s">
        <v>174</v>
      </c>
      <c r="G447">
        <v>345</v>
      </c>
      <c r="H447" s="1">
        <f>'Geometry Calculator'!H$11/2*SIN(RADIANS('Background calcs'!$G447))+H$81</f>
        <v>-95.763046687932658</v>
      </c>
      <c r="I447" s="1"/>
      <c r="J447" s="1">
        <f>'Geometry Calculator'!J$11/2*SIN(RADIANS('Background calcs'!$G447))+J$81</f>
        <v>-90.574780003650304</v>
      </c>
      <c r="K447" s="1"/>
      <c r="L447" s="1">
        <f>'Geometry Calculator'!L$11/2*SIN(RADIANS('Background calcs'!$G447))+L$81</f>
        <v>-100097.57478000365</v>
      </c>
      <c r="M447" s="1"/>
      <c r="N447" s="1">
        <f>'Geometry Calculator'!N$11/2*SIN(RADIANS('Background calcs'!$G447))+N$81</f>
        <v>-100097.57478000365</v>
      </c>
      <c r="O447" s="1"/>
      <c r="P447" s="1">
        <f>'Geometry Calculator'!P$11/2*SIN(RADIANS('Background calcs'!$G447))+P$81</f>
        <v>-100093.95131337222</v>
      </c>
      <c r="Q447" s="1"/>
      <c r="R447" s="1">
        <f>'Geometry Calculator'!R$11/2*SIN(RADIANS('Background calcs'!$G447))+R$81</f>
        <v>-100085.42773239089</v>
      </c>
      <c r="S447" s="1"/>
      <c r="T447" s="1">
        <f>'Geometry Calculator'!T$11/2*SIN(RADIANS('Background calcs'!$G447))+T$81</f>
        <v>-100096.28068477813</v>
      </c>
      <c r="U447" s="1"/>
      <c r="V447" s="1">
        <f>'Geometry Calculator'!V$11/2*SIN(RADIANS('Background calcs'!$G447))+V$81</f>
        <v>-100096.28068477813</v>
      </c>
      <c r="W447" s="1"/>
      <c r="X447" s="1">
        <f>'Geometry Calculator'!X$11/2*SIN(RADIANS('Background calcs'!$G447))+X$81</f>
        <v>-100098.99828475171</v>
      </c>
      <c r="Y447" s="1"/>
      <c r="Z447" s="1">
        <f>'Geometry Calculator'!Z$11/2*SIN(RADIANS('Background calcs'!$G447))+Z$81</f>
        <v>-100098.99828475171</v>
      </c>
      <c r="AB447" s="159"/>
      <c r="AC447" s="1"/>
      <c r="AD447" s="1"/>
    </row>
    <row r="448" spans="6:30" x14ac:dyDescent="0.25">
      <c r="F448" t="s">
        <v>290</v>
      </c>
      <c r="G448">
        <v>350</v>
      </c>
      <c r="H448" s="1">
        <f>'Geometry Calculator'!H$11/2*SIN(RADIANS('Background calcs'!$G448))+H$81</f>
        <v>-64.249825736764237</v>
      </c>
      <c r="I448" s="1"/>
      <c r="J448" s="1">
        <f>'Geometry Calculator'!J$11/2*SIN(RADIANS('Background calcs'!$G448))+J$81</f>
        <v>-58.465362980432758</v>
      </c>
      <c r="K448" s="1"/>
      <c r="L448" s="1">
        <f>'Geometry Calculator'!L$11/2*SIN(RADIANS('Background calcs'!$G448))+L$81</f>
        <v>-100065.46536298044</v>
      </c>
      <c r="M448" s="1"/>
      <c r="N448" s="1">
        <f>'Geometry Calculator'!N$11/2*SIN(RADIANS('Background calcs'!$G448))+N$81</f>
        <v>-100065.46536298044</v>
      </c>
      <c r="O448" s="1"/>
      <c r="P448" s="1">
        <f>'Geometry Calculator'!P$11/2*SIN(RADIANS('Background calcs'!$G448))+P$81</f>
        <v>-100063.0342884931</v>
      </c>
      <c r="Q448" s="1"/>
      <c r="R448" s="1">
        <f>'Geometry Calculator'!R$11/2*SIN(RADIANS('Background calcs'!$G448))+R$81</f>
        <v>-100053.53124253626</v>
      </c>
      <c r="S448" s="1"/>
      <c r="T448" s="1">
        <f>'Geometry Calculator'!T$11/2*SIN(RADIANS('Background calcs'!$G448))+T$81</f>
        <v>-100064.59712209209</v>
      </c>
      <c r="U448" s="1"/>
      <c r="V448" s="1">
        <f>'Geometry Calculator'!V$11/2*SIN(RADIANS('Background calcs'!$G448))+V$81</f>
        <v>-100064.59712209209</v>
      </c>
      <c r="W448" s="1"/>
      <c r="X448" s="1">
        <f>'Geometry Calculator'!X$11/2*SIN(RADIANS('Background calcs'!$G448))+X$81</f>
        <v>-100066.42042795761</v>
      </c>
      <c r="Y448" s="1"/>
      <c r="Z448" s="1">
        <f>'Geometry Calculator'!Z$11/2*SIN(RADIANS('Background calcs'!$G448))+Z$81</f>
        <v>-100066.42042795761</v>
      </c>
      <c r="AB448" s="159"/>
      <c r="AC448" s="1"/>
      <c r="AD448" s="1"/>
    </row>
    <row r="449" spans="6:30" x14ac:dyDescent="0.25">
      <c r="F449" t="s">
        <v>291</v>
      </c>
      <c r="G449">
        <v>355</v>
      </c>
      <c r="H449" s="1">
        <f>'Geometry Calculator'!H$11/2*SIN(RADIANS('Background calcs'!$G449))+H$81</f>
        <v>-32.247624816633575</v>
      </c>
      <c r="I449" s="1"/>
      <c r="J449" s="1">
        <f>'Geometry Calculator'!J$11/2*SIN(RADIANS('Background calcs'!$G449))+J$81</f>
        <v>-25.857715015867186</v>
      </c>
      <c r="K449" s="1"/>
      <c r="L449" s="1">
        <f>'Geometry Calculator'!L$11/2*SIN(RADIANS('Background calcs'!$G449))+L$81</f>
        <v>-100032.85771501587</v>
      </c>
      <c r="M449" s="1"/>
      <c r="N449" s="1">
        <f>'Geometry Calculator'!N$11/2*SIN(RADIANS('Background calcs'!$G449))+N$81</f>
        <v>-100032.85771501587</v>
      </c>
      <c r="O449" s="1"/>
      <c r="P449" s="1">
        <f>'Geometry Calculator'!P$11/2*SIN(RADIANS('Background calcs'!$G449))+P$81</f>
        <v>-100031.6375346174</v>
      </c>
      <c r="Q449" s="1"/>
      <c r="R449" s="1">
        <f>'Geometry Calculator'!R$11/2*SIN(RADIANS('Background calcs'!$G449))+R$81</f>
        <v>-100021.139825659</v>
      </c>
      <c r="S449" s="1"/>
      <c r="T449" s="1">
        <f>'Geometry Calculator'!T$11/2*SIN(RADIANS('Background calcs'!$G449))+T$81</f>
        <v>-100032.42193630213</v>
      </c>
      <c r="U449" s="1"/>
      <c r="V449" s="1">
        <f>'Geometry Calculator'!V$11/2*SIN(RADIANS('Background calcs'!$G449))+V$81</f>
        <v>-100032.42193630213</v>
      </c>
      <c r="W449" s="1"/>
      <c r="X449" s="1">
        <f>'Geometry Calculator'!X$11/2*SIN(RADIANS('Background calcs'!$G449))+X$81</f>
        <v>-100033.33707160098</v>
      </c>
      <c r="Y449" s="1"/>
      <c r="Z449" s="1">
        <f>'Geometry Calculator'!Z$11/2*SIN(RADIANS('Background calcs'!$G449))+Z$81</f>
        <v>-100033.33707160098</v>
      </c>
      <c r="AB449" s="159"/>
      <c r="AC449" s="1"/>
      <c r="AD449" s="1"/>
    </row>
    <row r="450" spans="6:30" x14ac:dyDescent="0.25">
      <c r="F450" t="s">
        <v>175</v>
      </c>
      <c r="G450">
        <v>360</v>
      </c>
      <c r="H450" s="1">
        <f>'Geometry Calculator'!H$11/2*SIN(RADIANS('Background calcs'!$G450))+H$81</f>
        <v>-9.0660985663237881E-14</v>
      </c>
      <c r="I450" s="1"/>
      <c r="J450" s="1">
        <f>'Geometry Calculator'!J$11/2*SIN(RADIANS('Background calcs'!$G450))+J$81</f>
        <v>6.9999999999999059</v>
      </c>
      <c r="K450" s="1"/>
      <c r="L450" s="1">
        <f>'Geometry Calculator'!L$11/2*SIN(RADIANS('Background calcs'!$G450))+L$81</f>
        <v>-100000</v>
      </c>
      <c r="M450" s="1"/>
      <c r="N450" s="1">
        <f>'Geometry Calculator'!N$11/2*SIN(RADIANS('Background calcs'!$G450))+N$81</f>
        <v>-100000</v>
      </c>
      <c r="O450" s="1"/>
      <c r="P450" s="1">
        <f>'Geometry Calculator'!P$11/2*SIN(RADIANS('Background calcs'!$G450))+P$81</f>
        <v>-100000</v>
      </c>
      <c r="Q450" s="1"/>
      <c r="R450" s="1">
        <f>'Geometry Calculator'!R$11/2*SIN(RADIANS('Background calcs'!$G450))+R$81</f>
        <v>-99988.5</v>
      </c>
      <c r="S450" s="1"/>
      <c r="T450" s="1">
        <f>'Geometry Calculator'!T$11/2*SIN(RADIANS('Background calcs'!$G450))+T$81</f>
        <v>-100000</v>
      </c>
      <c r="U450" s="1"/>
      <c r="V450" s="1">
        <f>'Geometry Calculator'!V$11/2*SIN(RADIANS('Background calcs'!$G450))+V$81</f>
        <v>-100000</v>
      </c>
      <c r="W450" s="1"/>
      <c r="X450" s="1">
        <f>'Geometry Calculator'!X$11/2*SIN(RADIANS('Background calcs'!$G450))+X$81</f>
        <v>-100000</v>
      </c>
      <c r="Y450" s="1"/>
      <c r="Z450" s="1">
        <f>'Geometry Calculator'!Z$11/2*SIN(RADIANS('Background calcs'!$G450))+Z$81</f>
        <v>-100000</v>
      </c>
      <c r="AB450" s="159"/>
      <c r="AC450" s="1"/>
      <c r="AD450" s="1"/>
    </row>
    <row r="452" spans="6:30" x14ac:dyDescent="0.25">
      <c r="G452" s="1" t="s">
        <v>78</v>
      </c>
    </row>
    <row r="453" spans="6:30" x14ac:dyDescent="0.25">
      <c r="G453" s="1" t="s">
        <v>77</v>
      </c>
    </row>
    <row r="454" spans="6:30" x14ac:dyDescent="0.25">
      <c r="G454" s="1" t="s">
        <v>56</v>
      </c>
    </row>
    <row r="456" spans="6:30" x14ac:dyDescent="0.25">
      <c r="G456" s="1" t="s">
        <v>79</v>
      </c>
    </row>
    <row r="457" spans="6:30" x14ac:dyDescent="0.25">
      <c r="G457" s="1" t="s">
        <v>80</v>
      </c>
    </row>
    <row r="458" spans="6:30" x14ac:dyDescent="0.25">
      <c r="G458" s="1" t="s">
        <v>81</v>
      </c>
    </row>
    <row r="459" spans="6:30" x14ac:dyDescent="0.25">
      <c r="G459" s="1" t="s">
        <v>82</v>
      </c>
    </row>
    <row r="460" spans="6:30" x14ac:dyDescent="0.25">
      <c r="G460" s="1" t="s">
        <v>83</v>
      </c>
    </row>
    <row r="462" spans="6:30" x14ac:dyDescent="0.25">
      <c r="G462" s="1" t="s">
        <v>88</v>
      </c>
    </row>
    <row r="463" spans="6:30" x14ac:dyDescent="0.25">
      <c r="G463" s="1" t="s">
        <v>89</v>
      </c>
    </row>
    <row r="464" spans="6:30" x14ac:dyDescent="0.25">
      <c r="G464" s="1" t="s">
        <v>90</v>
      </c>
    </row>
    <row r="466" spans="5:8" x14ac:dyDescent="0.25">
      <c r="G466" s="1" t="s">
        <v>93</v>
      </c>
      <c r="H466" s="1" t="s">
        <v>293</v>
      </c>
    </row>
    <row r="467" spans="5:8" x14ac:dyDescent="0.25">
      <c r="E467" s="98"/>
      <c r="G467" s="4" t="s">
        <v>294</v>
      </c>
      <c r="H467" s="1">
        <v>686</v>
      </c>
    </row>
    <row r="468" spans="5:8" x14ac:dyDescent="0.25">
      <c r="G468" s="1" t="s">
        <v>94</v>
      </c>
      <c r="H468" s="1">
        <v>622</v>
      </c>
    </row>
    <row r="469" spans="5:8" x14ac:dyDescent="0.25">
      <c r="G469" s="1" t="s">
        <v>95</v>
      </c>
      <c r="H469" s="1">
        <v>584</v>
      </c>
    </row>
    <row r="470" spans="5:8" x14ac:dyDescent="0.25">
      <c r="E470" s="99"/>
      <c r="G470" s="6">
        <v>26</v>
      </c>
      <c r="H470" s="1">
        <v>559</v>
      </c>
    </row>
    <row r="471" spans="5:8" x14ac:dyDescent="0.25">
      <c r="E471" s="99"/>
      <c r="G471" s="6">
        <v>24</v>
      </c>
      <c r="H471" s="1">
        <v>507</v>
      </c>
    </row>
    <row r="473" spans="5:8" x14ac:dyDescent="0.25">
      <c r="G473" s="1" t="s">
        <v>483</v>
      </c>
    </row>
    <row r="474" spans="5:8" x14ac:dyDescent="0.25">
      <c r="G474" s="1" t="s">
        <v>484</v>
      </c>
    </row>
    <row r="476" spans="5:8" x14ac:dyDescent="0.25">
      <c r="G476" s="1" t="s">
        <v>493</v>
      </c>
    </row>
    <row r="477" spans="5:8" x14ac:dyDescent="0.25">
      <c r="G477" s="1" t="s">
        <v>494</v>
      </c>
    </row>
  </sheetData>
  <phoneticPr fontId="7"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8</vt:i4>
      </vt:variant>
    </vt:vector>
  </HeadingPairs>
  <TitlesOfParts>
    <vt:vector size="8" baseType="lpstr">
      <vt:lpstr>Notes - Read Me</vt:lpstr>
      <vt:lpstr>Geometry Calculator</vt:lpstr>
      <vt:lpstr>Sagged Hardtail Calculator</vt:lpstr>
      <vt:lpstr>RAD Calculator</vt:lpstr>
      <vt:lpstr>Rigid Fork AtC Calculator</vt:lpstr>
      <vt:lpstr>Tire Diameter Estimator</vt:lpstr>
      <vt:lpstr>Measurement Definitions</vt:lpstr>
      <vt:lpstr>Background calcs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2025-12-09T20:45:34Z</dcterms:created>
  <dcterms:modified xsi:type="dcterms:W3CDTF">2026-07-14T16:49:35Z</dcterms:modified>
</cp:coreProperties>
</file>